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Всего-дор" sheetId="4" r:id="rId1"/>
    <sheet name="Лист1" sheetId="5" r:id="rId2"/>
  </sheets>
  <definedNames>
    <definedName name="_xlnm._FilterDatabase" localSheetId="0" hidden="1">'Всего-дор'!$A$15:$AF$15</definedName>
    <definedName name="_xlnm.Print_Titles" localSheetId="0">'Всего-дор'!$15:$15</definedName>
    <definedName name="_xlnm.Print_Area" localSheetId="0">'Всего-дор'!$A$1:$AA$395</definedName>
  </definedNames>
  <calcPr calcId="145621" iterate="1"/>
</workbook>
</file>

<file path=xl/calcChain.xml><?xml version="1.0" encoding="utf-8"?>
<calcChain xmlns="http://schemas.openxmlformats.org/spreadsheetml/2006/main">
  <c r="Z318" i="4" l="1"/>
  <c r="Z220" i="4"/>
  <c r="Z219" i="4"/>
  <c r="Z218" i="4"/>
  <c r="Z216" i="4"/>
  <c r="Z86" i="4"/>
  <c r="Z81" i="4"/>
  <c r="X69" i="4" l="1"/>
  <c r="X68" i="4"/>
  <c r="X66" i="4"/>
  <c r="X310" i="4"/>
  <c r="Z313" i="4"/>
  <c r="X315" i="4"/>
  <c r="Z317" i="4"/>
  <c r="Z316" i="4"/>
  <c r="W69" i="4"/>
  <c r="Z312" i="4"/>
  <c r="Z311" i="4"/>
  <c r="W310" i="4"/>
  <c r="Z309" i="4"/>
  <c r="Z308" i="4"/>
  <c r="Z307" i="4"/>
  <c r="W306" i="4"/>
  <c r="Z305" i="4"/>
  <c r="Z304" i="4"/>
  <c r="Z303" i="4"/>
  <c r="W302" i="4"/>
  <c r="W352" i="4"/>
  <c r="Z310" i="4" l="1"/>
  <c r="W314" i="4" s="1"/>
  <c r="Z315" i="4"/>
  <c r="Z306" i="4"/>
  <c r="Z302" i="4"/>
  <c r="X314" i="4" l="1"/>
  <c r="Z314" i="4" s="1"/>
  <c r="W322" i="4"/>
  <c r="W350" i="4"/>
  <c r="W328" i="4"/>
  <c r="W292" i="4"/>
  <c r="W291" i="4"/>
  <c r="W288" i="4"/>
  <c r="W287" i="4"/>
  <c r="W276" i="4"/>
  <c r="W275" i="4"/>
  <c r="W272" i="4"/>
  <c r="W271" i="4"/>
  <c r="Z301" i="4"/>
  <c r="W298" i="4"/>
  <c r="Z300" i="4"/>
  <c r="Z299" i="4"/>
  <c r="W220" i="4"/>
  <c r="W219" i="4"/>
  <c r="W87" i="4"/>
  <c r="X85" i="4"/>
  <c r="X82" i="4"/>
  <c r="W46" i="4"/>
  <c r="W82" i="4"/>
  <c r="Z298" i="4" l="1"/>
  <c r="Z366" i="4" l="1"/>
  <c r="Z365" i="4"/>
  <c r="Z355" i="4" l="1"/>
  <c r="X387" i="4" l="1"/>
  <c r="Y387" i="4"/>
  <c r="W387" i="4"/>
  <c r="Z387" i="4" l="1"/>
  <c r="Z297" i="4" l="1"/>
  <c r="Z296" i="4"/>
  <c r="Z295" i="4"/>
  <c r="W294" i="4"/>
  <c r="W284" i="4"/>
  <c r="W283" i="4"/>
  <c r="W237" i="4"/>
  <c r="W236" i="4"/>
  <c r="W268" i="4"/>
  <c r="W267" i="4"/>
  <c r="W233" i="4"/>
  <c r="W232" i="4"/>
  <c r="W229" i="4"/>
  <c r="W228" i="4"/>
  <c r="W263" i="4"/>
  <c r="W262" i="4"/>
  <c r="W360" i="4"/>
  <c r="Z294" i="4" l="1"/>
  <c r="W85" i="4" l="1"/>
  <c r="T86" i="4"/>
  <c r="U86" i="4"/>
  <c r="U85" i="4" s="1"/>
  <c r="V86" i="4"/>
  <c r="V85" i="4" s="1"/>
  <c r="Z87" i="4"/>
  <c r="W259" i="4"/>
  <c r="Z263" i="4"/>
  <c r="Z262" i="4"/>
  <c r="W216" i="4"/>
  <c r="W189" i="4"/>
  <c r="Z193" i="4"/>
  <c r="Z192" i="4"/>
  <c r="T85" i="4" l="1"/>
  <c r="Y67" i="4"/>
  <c r="X67" i="4"/>
  <c r="W68" i="4"/>
  <c r="Y68" i="4"/>
  <c r="V350" i="4" l="1"/>
  <c r="V69" i="4" l="1"/>
  <c r="V67" i="4"/>
  <c r="V68" i="4"/>
  <c r="Z264" i="4" l="1"/>
  <c r="Z194" i="4"/>
  <c r="V346" i="4"/>
  <c r="Z222" i="4" l="1"/>
  <c r="Y322" i="4"/>
  <c r="X322" i="4"/>
  <c r="Z221" i="4" l="1"/>
  <c r="V216" i="4"/>
  <c r="W67" i="4"/>
  <c r="W282" i="4"/>
  <c r="Z293" i="4"/>
  <c r="Z292" i="4"/>
  <c r="Z291" i="4"/>
  <c r="W290" i="4"/>
  <c r="Z289" i="4"/>
  <c r="Z288" i="4"/>
  <c r="Z287" i="4"/>
  <c r="W286" i="4"/>
  <c r="Z285" i="4"/>
  <c r="Z284" i="4"/>
  <c r="Z283" i="4"/>
  <c r="Z281" i="4"/>
  <c r="Z280" i="4"/>
  <c r="Z279" i="4"/>
  <c r="W278" i="4"/>
  <c r="Z269" i="4"/>
  <c r="Y266" i="4"/>
  <c r="Y66" i="4" s="1"/>
  <c r="Z290" i="4" l="1"/>
  <c r="Z282" i="4"/>
  <c r="Z286" i="4"/>
  <c r="Z278" i="4"/>
  <c r="Z373" i="4"/>
  <c r="Z372" i="4"/>
  <c r="Z369" i="4"/>
  <c r="Z368" i="4"/>
  <c r="Z376" i="4"/>
  <c r="Z375" i="4"/>
  <c r="Z277" i="4" l="1"/>
  <c r="Z273" i="4"/>
  <c r="W270" i="4"/>
  <c r="W266" i="4"/>
  <c r="Z276" i="4"/>
  <c r="Z275" i="4"/>
  <c r="W274" i="4"/>
  <c r="Z272" i="4"/>
  <c r="Z271" i="4"/>
  <c r="Z268" i="4"/>
  <c r="Z267" i="4"/>
  <c r="Z270" i="4" l="1"/>
  <c r="Z266" i="4"/>
  <c r="Z274" i="4"/>
  <c r="V39" i="4" l="1"/>
  <c r="W25" i="4" l="1"/>
  <c r="X25" i="4"/>
  <c r="Y25" i="4"/>
  <c r="Y29" i="4" l="1"/>
  <c r="Z40" i="4"/>
  <c r="Z39" i="4"/>
  <c r="Z354" i="4"/>
  <c r="U26" i="4" l="1"/>
  <c r="Z261" i="4" l="1"/>
  <c r="Z260" i="4"/>
  <c r="V259" i="4"/>
  <c r="Z259" i="4" s="1"/>
  <c r="Z258" i="4"/>
  <c r="Z257" i="4"/>
  <c r="Z256" i="4"/>
  <c r="V255" i="4"/>
  <c r="Z254" i="4"/>
  <c r="Z253" i="4"/>
  <c r="Z252" i="4"/>
  <c r="V251" i="4"/>
  <c r="Z251" i="4" l="1"/>
  <c r="Z255" i="4"/>
  <c r="U68" i="4" l="1"/>
  <c r="Z265" i="4" l="1"/>
  <c r="Z234" i="4"/>
  <c r="Z230" i="4"/>
  <c r="Z226" i="4"/>
  <c r="Z250" i="4"/>
  <c r="Z246" i="4"/>
  <c r="Z242" i="4"/>
  <c r="X243" i="4"/>
  <c r="W238" i="4" l="1"/>
  <c r="Z238" i="4" s="1"/>
  <c r="Z249" i="4"/>
  <c r="Z248" i="4"/>
  <c r="X247" i="4"/>
  <c r="X239" i="4"/>
  <c r="W235" i="4"/>
  <c r="W231" i="4"/>
  <c r="W227" i="4"/>
  <c r="W223" i="4"/>
  <c r="Z245" i="4"/>
  <c r="Z244" i="4"/>
  <c r="Z241" i="4"/>
  <c r="Z240" i="4"/>
  <c r="Z237" i="4"/>
  <c r="Z236" i="4"/>
  <c r="Z233" i="4"/>
  <c r="Z232" i="4"/>
  <c r="Z229" i="4"/>
  <c r="Z228" i="4"/>
  <c r="Z225" i="4"/>
  <c r="Z224" i="4"/>
  <c r="Z217" i="4"/>
  <c r="Z231" i="4" l="1"/>
  <c r="Z247" i="4"/>
  <c r="Z227" i="4"/>
  <c r="Z239" i="4"/>
  <c r="Z235" i="4"/>
  <c r="Z223" i="4"/>
  <c r="Z243" i="4"/>
  <c r="Z44" i="4" l="1"/>
  <c r="V41" i="4"/>
  <c r="V25" i="4" s="1"/>
  <c r="V47" i="4"/>
  <c r="Z215" i="4" l="1"/>
  <c r="Z214" i="4"/>
  <c r="Z213" i="4"/>
  <c r="V212" i="4"/>
  <c r="V76" i="4"/>
  <c r="Z212" i="4" l="1"/>
  <c r="Z211" i="4"/>
  <c r="Z210" i="4"/>
  <c r="Z209" i="4"/>
  <c r="V208" i="4"/>
  <c r="Z207" i="4"/>
  <c r="Z206" i="4"/>
  <c r="Z205" i="4"/>
  <c r="V204" i="4"/>
  <c r="V200" i="4"/>
  <c r="Z202" i="4"/>
  <c r="Z198" i="4"/>
  <c r="Z197" i="4"/>
  <c r="V196" i="4"/>
  <c r="Z191" i="4"/>
  <c r="Z190" i="4"/>
  <c r="V189" i="4"/>
  <c r="Z189" i="4" s="1"/>
  <c r="Z187" i="4"/>
  <c r="Z186" i="4"/>
  <c r="V185" i="4"/>
  <c r="Z183" i="4"/>
  <c r="Z182" i="4"/>
  <c r="V181" i="4"/>
  <c r="Z179" i="4"/>
  <c r="V177" i="4"/>
  <c r="Z204" i="4" l="1"/>
  <c r="Z201" i="4"/>
  <c r="Z200" i="4" s="1"/>
  <c r="Z208" i="4"/>
  <c r="Z185" i="4"/>
  <c r="Z196" i="4"/>
  <c r="Z181" i="4"/>
  <c r="T69" i="4"/>
  <c r="W195" i="4" l="1"/>
  <c r="V195" i="4"/>
  <c r="Z195" i="4" s="1"/>
  <c r="Z74" i="4"/>
  <c r="V29" i="4"/>
  <c r="W29" i="4"/>
  <c r="X29" i="4"/>
  <c r="U29" i="4"/>
  <c r="Z48" i="4"/>
  <c r="Z47" i="4"/>
  <c r="U46" i="4"/>
  <c r="Z46" i="4" s="1"/>
  <c r="U42" i="4"/>
  <c r="U33" i="4"/>
  <c r="U174" i="4"/>
  <c r="U167" i="4"/>
  <c r="U166" i="4"/>
  <c r="U362" i="4"/>
  <c r="Z42" i="4" l="1"/>
  <c r="U352" i="4"/>
  <c r="U348" i="4"/>
  <c r="U334" i="4"/>
  <c r="U338" i="4"/>
  <c r="U346" i="4"/>
  <c r="U328" i="4"/>
  <c r="U322" i="4"/>
  <c r="U76" i="4"/>
  <c r="U70" i="4"/>
  <c r="Z347" i="4" l="1"/>
  <c r="Z363" i="4" l="1"/>
  <c r="W83" i="4" l="1"/>
  <c r="U82" i="4" l="1"/>
  <c r="Z203" i="4" l="1"/>
  <c r="Z199" i="4"/>
  <c r="Z188" i="4"/>
  <c r="Z184" i="4"/>
  <c r="Z180" i="4"/>
  <c r="Z178" i="4"/>
  <c r="Z177" i="4" s="1"/>
  <c r="Z336" i="4" l="1"/>
  <c r="X81" i="4"/>
  <c r="Z80" i="4"/>
  <c r="Z36" i="4" l="1"/>
  <c r="U20" i="4"/>
  <c r="U350" i="4" l="1"/>
  <c r="Z350" i="4" l="1"/>
  <c r="U175" i="4"/>
  <c r="U171" i="4"/>
  <c r="U163" i="4"/>
  <c r="U159" i="4"/>
  <c r="U155" i="4"/>
  <c r="U151" i="4"/>
  <c r="U360" i="4"/>
  <c r="U69" i="4" l="1"/>
  <c r="U170" i="4" l="1"/>
  <c r="U162" i="4"/>
  <c r="U158" i="4"/>
  <c r="U154" i="4" l="1"/>
  <c r="U150" i="4"/>
  <c r="U149" i="4" s="1"/>
  <c r="W81" i="4" l="1"/>
  <c r="W66" i="4" s="1"/>
  <c r="U27" i="4" l="1"/>
  <c r="U19" i="4" s="1"/>
  <c r="U173" i="4" l="1"/>
  <c r="Z176" i="4"/>
  <c r="Z175" i="4"/>
  <c r="Z174" i="4"/>
  <c r="Z172" i="4"/>
  <c r="Z171" i="4"/>
  <c r="Z170" i="4"/>
  <c r="U169" i="4"/>
  <c r="Z168" i="4"/>
  <c r="Z167" i="4"/>
  <c r="Z166" i="4"/>
  <c r="U165" i="4"/>
  <c r="Z164" i="4"/>
  <c r="Z163" i="4"/>
  <c r="Z162" i="4"/>
  <c r="U161" i="4"/>
  <c r="Z160" i="4"/>
  <c r="Z159" i="4"/>
  <c r="Z158" i="4"/>
  <c r="U157" i="4"/>
  <c r="Z156" i="4"/>
  <c r="Z155" i="4"/>
  <c r="Z154" i="4"/>
  <c r="U153" i="4"/>
  <c r="Z152" i="4"/>
  <c r="Z362" i="4"/>
  <c r="V364" i="4" l="1"/>
  <c r="U364" i="4"/>
  <c r="Z157" i="4"/>
  <c r="Z161" i="4"/>
  <c r="Z165" i="4"/>
  <c r="Z169" i="4"/>
  <c r="Z173" i="4"/>
  <c r="Z153" i="4"/>
  <c r="Z45" i="4"/>
  <c r="U43" i="4"/>
  <c r="Z43" i="4" l="1"/>
  <c r="Z41" i="4" s="1"/>
  <c r="U41" i="4"/>
  <c r="Z364" i="4"/>
  <c r="U32" i="4" l="1"/>
  <c r="U25" i="4" s="1"/>
  <c r="T352" i="4" l="1"/>
  <c r="Z352" i="4" s="1"/>
  <c r="T348" i="4"/>
  <c r="T322" i="4"/>
  <c r="T83" i="4" l="1"/>
  <c r="T145" i="4" l="1"/>
  <c r="T140" i="4"/>
  <c r="T123" i="4"/>
  <c r="T102" i="4"/>
  <c r="T98" i="4"/>
  <c r="T82" i="4"/>
  <c r="T76" i="4"/>
  <c r="T70" i="4"/>
  <c r="T328" i="4"/>
  <c r="T346" i="4"/>
  <c r="T357" i="4"/>
  <c r="T33" i="4"/>
  <c r="T334" i="4" l="1"/>
  <c r="Z65" i="4"/>
  <c r="Z64" i="4"/>
  <c r="Z63" i="4"/>
  <c r="Z62" i="4"/>
  <c r="Z61" i="4"/>
  <c r="Z60" i="4"/>
  <c r="T56" i="4"/>
  <c r="T55" i="4"/>
  <c r="T54" i="4" l="1"/>
  <c r="T68" i="4" l="1"/>
  <c r="Z120" i="4" l="1"/>
  <c r="Z148" i="4" l="1"/>
  <c r="Z147" i="4"/>
  <c r="Z142" i="4"/>
  <c r="Z143" i="4"/>
  <c r="Z130" i="4"/>
  <c r="T115" i="4" l="1"/>
  <c r="T114" i="4"/>
  <c r="T111" i="4"/>
  <c r="T110" i="4"/>
  <c r="T107" i="4"/>
  <c r="T106" i="4"/>
  <c r="T99" i="4"/>
  <c r="T95" i="4"/>
  <c r="T94" i="4"/>
  <c r="T91" i="4"/>
  <c r="T90" i="4"/>
  <c r="Z129" i="4" l="1"/>
  <c r="Z128" i="4"/>
  <c r="Z127" i="4"/>
  <c r="T126" i="4"/>
  <c r="Z126" i="4" s="1"/>
  <c r="Z125" i="4"/>
  <c r="Z124" i="4"/>
  <c r="Z123" i="4"/>
  <c r="T122" i="4"/>
  <c r="Z122" i="4" s="1"/>
  <c r="Z121" i="4"/>
  <c r="Z119" i="4"/>
  <c r="Z118" i="4"/>
  <c r="T117" i="4"/>
  <c r="Z117" i="4" s="1"/>
  <c r="Z138" i="4"/>
  <c r="Z137" i="4"/>
  <c r="Z136" i="4"/>
  <c r="T135" i="4"/>
  <c r="Z135" i="4" s="1"/>
  <c r="Z134" i="4"/>
  <c r="Z133" i="4"/>
  <c r="Z132" i="4"/>
  <c r="T131" i="4"/>
  <c r="Z131" i="4" s="1"/>
  <c r="Z141" i="4"/>
  <c r="Z140" i="4"/>
  <c r="T139" i="4"/>
  <c r="Z139" i="4" s="1"/>
  <c r="T144" i="4"/>
  <c r="Z144" i="4" s="1"/>
  <c r="Z145" i="4"/>
  <c r="Z146" i="4"/>
  <c r="Z357" i="4" l="1"/>
  <c r="Z358" i="4"/>
  <c r="T356" i="4"/>
  <c r="Z356" i="4" s="1"/>
  <c r="T26" i="4" l="1"/>
  <c r="T52" i="4"/>
  <c r="T51" i="4"/>
  <c r="V377" i="4" l="1"/>
  <c r="Z360" i="4"/>
  <c r="Z56" i="4" l="1"/>
  <c r="Z79" i="4"/>
  <c r="Z54" i="4" l="1"/>
  <c r="Z59" i="4"/>
  <c r="Z58" i="4"/>
  <c r="Z151" i="4" l="1"/>
  <c r="Z150" i="4"/>
  <c r="Z149" i="4" l="1"/>
  <c r="Z57" i="4" l="1"/>
  <c r="Z55" i="4"/>
  <c r="T30" i="4" l="1"/>
  <c r="Z116" i="4" l="1"/>
  <c r="Z115" i="4"/>
  <c r="Z114" i="4"/>
  <c r="T113" i="4"/>
  <c r="Z113" i="4" s="1"/>
  <c r="Z100" i="4"/>
  <c r="Z99" i="4"/>
  <c r="Z98" i="4"/>
  <c r="T97" i="4"/>
  <c r="Z97" i="4" s="1"/>
  <c r="Z112" i="4"/>
  <c r="Z111" i="4"/>
  <c r="Z110" i="4"/>
  <c r="T109" i="4"/>
  <c r="Z109" i="4" s="1"/>
  <c r="Z108" i="4"/>
  <c r="Z107" i="4"/>
  <c r="Z106" i="4"/>
  <c r="T105" i="4"/>
  <c r="Z105" i="4" s="1"/>
  <c r="Z104" i="4" l="1"/>
  <c r="Z103" i="4"/>
  <c r="Z102" i="4"/>
  <c r="T101" i="4"/>
  <c r="Z101" i="4" s="1"/>
  <c r="Z52" i="4"/>
  <c r="Z51" i="4"/>
  <c r="Z50" i="4"/>
  <c r="T49" i="4"/>
  <c r="Z49" i="4" l="1"/>
  <c r="Z96" i="4" l="1"/>
  <c r="Z95" i="4"/>
  <c r="Z94" i="4"/>
  <c r="T93" i="4"/>
  <c r="Z93" i="4" s="1"/>
  <c r="Z53" i="4" l="1"/>
  <c r="T35" i="4" l="1"/>
  <c r="T34" i="4"/>
  <c r="Z33" i="4" l="1"/>
  <c r="V20" i="4" l="1"/>
  <c r="X20" i="4"/>
  <c r="T89" i="4" l="1"/>
  <c r="Z88" i="4"/>
  <c r="Z85" i="4" l="1"/>
  <c r="Z92" i="4" l="1"/>
  <c r="Z91" i="4"/>
  <c r="Z90" i="4"/>
  <c r="Z89" i="4" l="1"/>
  <c r="Z76" i="4" l="1"/>
  <c r="Z78" i="4" l="1"/>
  <c r="T32" i="4" l="1"/>
  <c r="T25" i="4" s="1"/>
  <c r="V81" i="4" l="1"/>
  <c r="V66" i="4" s="1"/>
  <c r="Z29" i="4" l="1"/>
  <c r="Z26" i="4"/>
  <c r="T27" i="4" l="1"/>
  <c r="T19" i="4" s="1"/>
  <c r="U81" i="4" l="1"/>
  <c r="U66" i="4" s="1"/>
  <c r="Z34" i="4" l="1"/>
  <c r="Z35" i="4"/>
  <c r="Z32" i="4" l="1"/>
  <c r="Z353" i="4" l="1"/>
  <c r="Z379" i="4" l="1"/>
  <c r="Y69" i="4" l="1"/>
  <c r="Z69" i="4" l="1"/>
  <c r="U386" i="4" l="1"/>
  <c r="T386" i="4"/>
  <c r="Z386" i="4" l="1"/>
  <c r="Z381" i="4"/>
  <c r="Z77" i="4" l="1"/>
  <c r="T28" i="4" l="1"/>
  <c r="Z82" i="4"/>
  <c r="Z83" i="4"/>
  <c r="T81" i="4"/>
  <c r="T66" i="4" s="1"/>
  <c r="Z66" i="4" s="1"/>
  <c r="Z27" i="4"/>
  <c r="Z28" i="4" l="1"/>
  <c r="Z30" i="4"/>
  <c r="Z25" i="4" s="1"/>
  <c r="Z18" i="4" l="1"/>
  <c r="Z73" i="4" l="1"/>
  <c r="Y321" i="4"/>
  <c r="X321" i="4"/>
  <c r="W321" i="4"/>
  <c r="V321" i="4"/>
  <c r="U321" i="4"/>
  <c r="T321" i="4"/>
  <c r="Z84" i="4" l="1"/>
  <c r="Z31" i="4" l="1"/>
  <c r="Z345" i="4"/>
  <c r="Z341" i="4"/>
  <c r="Z328" i="4"/>
  <c r="T385" i="4" l="1"/>
  <c r="U385" i="4"/>
  <c r="T333" i="4"/>
  <c r="U333" i="4"/>
  <c r="V333" i="4"/>
  <c r="W333" i="4"/>
  <c r="X333" i="4"/>
  <c r="Z70" i="4" l="1"/>
  <c r="W20" i="4"/>
  <c r="Z322" i="4" l="1"/>
  <c r="W377" i="4" l="1"/>
  <c r="X377" i="4"/>
  <c r="Y377" i="4"/>
  <c r="T320" i="4" l="1"/>
  <c r="T21" i="4" s="1"/>
  <c r="V320" i="4"/>
  <c r="W320" i="4"/>
  <c r="W21" i="4" s="1"/>
  <c r="X320" i="4"/>
  <c r="X21" i="4" s="1"/>
  <c r="Y320" i="4"/>
  <c r="Y21" i="4" s="1"/>
  <c r="Y333" i="4" l="1"/>
  <c r="T377" i="4" l="1"/>
  <c r="U377" i="4" l="1"/>
  <c r="Z71" i="4" l="1"/>
  <c r="Z335" i="4" l="1"/>
  <c r="Y23" i="4" l="1"/>
  <c r="Y20" i="4"/>
  <c r="U332" i="4" l="1"/>
  <c r="U319" i="4" s="1"/>
  <c r="V332" i="4"/>
  <c r="V319" i="4" s="1"/>
  <c r="W332" i="4"/>
  <c r="W319" i="4" s="1"/>
  <c r="X332" i="4"/>
  <c r="X319" i="4" s="1"/>
  <c r="Y332" i="4"/>
  <c r="Y319" i="4" s="1"/>
  <c r="T332" i="4"/>
  <c r="T319" i="4" l="1"/>
  <c r="Z319" i="4" s="1"/>
  <c r="W24" i="4"/>
  <c r="W16" i="4" s="1"/>
  <c r="V24" i="4"/>
  <c r="V16" i="4" s="1"/>
  <c r="X24" i="4"/>
  <c r="X16" i="4" s="1"/>
  <c r="Y24" i="4"/>
  <c r="Y16" i="4" s="1"/>
  <c r="U320" i="4"/>
  <c r="U21" i="4" s="1"/>
  <c r="V21" i="4"/>
  <c r="Z21" i="4"/>
  <c r="Z320" i="4"/>
  <c r="Z389" i="4"/>
  <c r="Z324" i="4"/>
  <c r="Z325" i="4"/>
  <c r="Z321" i="4" s="1"/>
  <c r="Z326" i="4"/>
  <c r="Z330" i="4"/>
  <c r="Z331" i="4"/>
  <c r="Z337" i="4"/>
  <c r="Z339" i="4"/>
  <c r="Z340" i="4"/>
  <c r="Z343" i="4"/>
  <c r="Z344" i="4"/>
  <c r="Z349" i="4"/>
  <c r="Z383" i="4"/>
  <c r="Z385" i="4"/>
  <c r="Z391" i="4"/>
  <c r="Z393" i="4"/>
  <c r="Z377" i="4" l="1"/>
  <c r="Z333" i="4"/>
  <c r="Z72" i="4" l="1"/>
  <c r="T24" i="4" l="1"/>
  <c r="Z348" i="4" l="1"/>
  <c r="U24" i="4" l="1"/>
  <c r="Z346" i="4"/>
  <c r="Z338" i="4"/>
  <c r="Z342" i="4"/>
  <c r="Z334" i="4"/>
  <c r="T23" i="4"/>
  <c r="U23" i="4"/>
  <c r="V23" i="4"/>
  <c r="W23" i="4"/>
  <c r="X23" i="4"/>
  <c r="Z24" i="4" l="1"/>
  <c r="Z16" i="4" s="1"/>
  <c r="U16" i="4"/>
  <c r="Z332" i="4"/>
  <c r="Z23" i="4"/>
  <c r="T22" i="4" l="1"/>
  <c r="U22" i="4"/>
  <c r="V22" i="4"/>
  <c r="Z22" i="4" l="1"/>
  <c r="Z67" i="4"/>
  <c r="T16" i="4" l="1"/>
</calcChain>
</file>

<file path=xl/sharedStrings.xml><?xml version="1.0" encoding="utf-8"?>
<sst xmlns="http://schemas.openxmlformats.org/spreadsheetml/2006/main" count="4259" uniqueCount="257">
  <si>
    <t>раздел</t>
  </si>
  <si>
    <t>%</t>
  </si>
  <si>
    <t>км</t>
  </si>
  <si>
    <t>Целевое (суммарное) значение показателя</t>
  </si>
  <si>
    <t>значение</t>
  </si>
  <si>
    <t>Характеристика муниципальной программы города Твери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</si>
  <si>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</si>
  <si>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Единица измерения</t>
  </si>
  <si>
    <t>кв. м</t>
  </si>
  <si>
    <t>Код бюджетной классификации</t>
  </si>
  <si>
    <t>0</t>
  </si>
  <si>
    <t>1</t>
  </si>
  <si>
    <t>2</t>
  </si>
  <si>
    <t>под-раздел</t>
  </si>
  <si>
    <t>Классификация целевой статьи расходов бюджета</t>
  </si>
  <si>
    <t>п. м</t>
  </si>
  <si>
    <t>Задача 1 
«Организация пассажирских перевозок городским общественным транспортом»</t>
  </si>
  <si>
    <t>5</t>
  </si>
  <si>
    <t>8</t>
  </si>
  <si>
    <t>9</t>
  </si>
  <si>
    <t>4</t>
  </si>
  <si>
    <t>3</t>
  </si>
  <si>
    <t>6</t>
  </si>
  <si>
    <t>Задача 3 
«Содержание автомобильных дорог общего пользования и искусственных сооружений на них»</t>
  </si>
  <si>
    <t>Задача 2 
«Капитальный и текущий ремонт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</si>
  <si>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</si>
  <si>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Муниципальная программа, всего</t>
  </si>
  <si>
    <t>да - 1
нет - 0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</si>
  <si>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</si>
  <si>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Примечание: разработка проектной документации, технический надзор и другие виды надзора по мероприятиям осуществляются за счет средств, запланированных на реализацию этих мероприятий</t>
  </si>
  <si>
    <t>единиц</t>
  </si>
  <si>
    <t>штук</t>
  </si>
  <si>
    <t>год достижения</t>
  </si>
  <si>
    <t>тысяч руб.</t>
  </si>
  <si>
    <t>тысяч кв. м</t>
  </si>
  <si>
    <t>тысяч чел.</t>
  </si>
  <si>
    <t>Годы реализации программы</t>
  </si>
  <si>
    <t>тысяч м3</t>
  </si>
  <si>
    <t>код исполнителя программы</t>
  </si>
  <si>
    <t>тысяч кв.м</t>
  </si>
  <si>
    <t>S</t>
  </si>
  <si>
    <t xml:space="preserve"> </t>
  </si>
  <si>
    <t>к муниципальной программе города Твери</t>
  </si>
  <si>
    <t>Приложение 1 
к постановлению администрации города Твери
от «_____» _________________  2018 №  _________</t>
  </si>
  <si>
    <t>«Дорожное хозяйство и общественный транспорт города Твери» на 2021-2026 годы</t>
  </si>
  <si>
    <t>R</t>
  </si>
  <si>
    <t>«Приложение 1</t>
  </si>
  <si>
    <t>».</t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</si>
  <si>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</si>
  <si>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</si>
  <si>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t>Подпрограмма 2</t>
    </r>
    <r>
      <rPr>
        <sz val="11"/>
        <rFont val="Times New Roman"/>
        <family val="1"/>
        <charset val="204"/>
      </rPr>
      <t xml:space="preserve"> «</t>
    </r>
    <r>
      <rPr>
        <b/>
        <sz val="11"/>
        <rFont val="Times New Roman"/>
        <family val="1"/>
        <charset val="204"/>
      </rPr>
      <t xml:space="preserve">Общественный транспорт» 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</si>
  <si>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</si>
  <si>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</si>
  <si>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</si>
  <si>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</si>
  <si>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</si>
  <si>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</si>
  <si>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</si>
  <si>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</si>
  <si>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</si>
  <si>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2.01</t>
    </r>
    <r>
      <rPr>
        <sz val="11"/>
        <rFont val="Times New Roman"/>
        <family val="1"/>
        <charset val="204"/>
      </rPr>
      <t xml:space="preserve"> 
«Капитальный ремонт автомобильных  дорог города, включая тротуары»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</si>
  <si>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</si>
  <si>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искусственных сооружений на них» 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</si>
  <si>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содержания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</si>
  <si>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</si>
  <si>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</si>
  <si>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</si>
  <si>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</si>
  <si>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</si>
  <si>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оплаченных налогов, сборов и иных обязательных платежей»</t>
    </r>
  </si>
  <si>
    <r>
      <t xml:space="preserve">Мероприятие 3.03 
</t>
    </r>
    <r>
      <rPr>
        <sz val="11"/>
        <rFont val="Times New Roman"/>
        <family val="1"/>
        <charset val="204"/>
      </rPr>
      <t>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</si>
  <si>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</si>
  <si>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</si>
  <si>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</si>
  <si>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</si>
  <si>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</si>
  <si>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</si>
  <si>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 xml:space="preserve">Показатель 3
</t>
    </r>
    <r>
      <rPr>
        <sz val="11"/>
        <rFont val="Times New Roman"/>
        <family val="1"/>
        <charset val="204"/>
      </rPr>
      <t>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</si>
  <si>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</si>
  <si>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</si>
  <si>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</si>
  <si>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t>Подпрограмма 1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«Дорожное хозяйство»</t>
    </r>
  </si>
  <si>
    <r>
      <rPr>
        <b/>
        <sz val="11"/>
        <rFont val="Times New Roman"/>
        <family val="1"/>
        <charset val="204"/>
      </rPr>
      <t xml:space="preserve">Административное мероприятие 1.02 
</t>
    </r>
    <r>
      <rPr>
        <sz val="11"/>
        <rFont val="Times New Roman"/>
        <family val="1"/>
        <charset val="204"/>
      </rPr>
      <t>«Подготовка постановлений по открытию, изменению и закрытию движения транспорта»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</si>
  <si>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</si>
  <si>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</si>
  <si>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</si>
  <si>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</si>
  <si>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</si>
  <si>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</si>
  <si>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</si>
  <si>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согласованных маршрутов»</t>
    </r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</si>
  <si>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</si>
  <si>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«Общая протяженность отремонтированных автомобильных дорог, включая тротуары»</t>
    </r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</si>
  <si>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</si>
  <si>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 по развитию транспортной системы Тверской области»</t>
    </r>
  </si>
  <si>
    <r>
      <rPr>
        <b/>
        <sz val="11"/>
        <rFont val="Times New Roman"/>
        <family val="1"/>
        <charset val="204"/>
      </rPr>
      <t>Административное мероприятие 1.01</t>
    </r>
    <r>
      <rPr>
        <sz val="11"/>
        <rFont val="Times New Roman"/>
        <family val="1"/>
        <charset val="204"/>
      </rPr>
      <t xml:space="preserve">
«Согласование маршрутов регулярных перевозок пассажиров и багажа автомобильным транспортом, с посадкой и высадкой пассажиров на объектах транспортной инфраструктуры»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</si>
  <si>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</si>
  <si>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r>
      <rPr>
        <b/>
        <sz val="11"/>
        <rFont val="Times New Roman"/>
        <family val="1"/>
        <charset val="204"/>
      </rPr>
      <t xml:space="preserve">Мероприятие 3.06 </t>
    </r>
    <r>
      <rPr>
        <sz val="11"/>
        <rFont val="Times New Roman"/>
        <family val="1"/>
        <charset val="204"/>
      </rPr>
      <t xml:space="preserve">
«Укрепление материально-технической базы муниципальных предприятий и учреждений, осуществляющих дорожную деятельность на территории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</si>
  <si>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приобретенной техники»</t>
    </r>
  </si>
  <si>
    <r>
      <t xml:space="preserve">Мероприятие 1.02 
</t>
    </r>
    <r>
      <rPr>
        <sz val="11"/>
        <rFont val="Times New Roman"/>
        <family val="1"/>
        <charset val="204"/>
      </rPr>
      <t xml:space="preserve">«Реконструкция автомобильной дороги Бежецкое шоссе на участке от Затверецкого бульвара до ул. Богородицерождественская (в т.ч. ПИР)» 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</si>
  <si>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</si>
  <si>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t xml:space="preserve">Показатель 4
</t>
    </r>
    <r>
      <rPr>
        <sz val="11"/>
        <rFont val="Times New Roman"/>
        <family val="1"/>
        <charset val="204"/>
      </rPr>
      <t>«Общее 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</si>
  <si>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</si>
  <si>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r>
      <t xml:space="preserve"> Показатель 1 
</t>
    </r>
    <r>
      <rPr>
        <sz val="11"/>
        <rFont val="Times New Roman"/>
        <family val="1"/>
        <charset val="204"/>
      </rPr>
      <t>«Количество выданных согласований на перевозку тяжеловесных и (или) крупногабаритных грузов»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</si>
  <si>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построенной линии наружного освещения»</t>
    </r>
  </si>
  <si>
    <r>
      <rPr>
        <b/>
        <sz val="11"/>
        <rFont val="Times New Roman"/>
        <family val="1"/>
        <charset val="204"/>
      </rPr>
      <t>Мероприятие 2.05</t>
    </r>
    <r>
      <rPr>
        <sz val="11"/>
        <rFont val="Times New Roman"/>
        <family val="1"/>
        <charset val="204"/>
      </rPr>
      <t xml:space="preserve"> 
«Капитальный ремонт мостового сооружения на автодороге по ул. Бортниковская в г.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</si>
  <si>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отремонтированного искусственного сооружения»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</si>
  <si>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отремонтированной автомобильной дороги»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</si>
  <si>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</si>
  <si>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Мероприятие 2.04 </t>
    </r>
    <r>
      <rPr>
        <sz val="11"/>
        <rFont val="Times New Roman"/>
        <family val="1"/>
        <charset val="204"/>
      </rPr>
      <t xml:space="preserve">
«Капитальный и текущий ремонт автомобильных дорог общего пользования и искусственных сооружений на них в рамках реализации закона Тверской области «О статусе города Тверской области, удостоенного почетного звания Российской Федерации «Город воинской славы» (без софинансирования из вышестоящих бюджетов)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</si>
  <si>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</si>
  <si>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автомобильных дорог города, включая тротуары»</t>
    </r>
  </si>
  <si>
    <t>Q</t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</si>
  <si>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«Протяженность замены деформационных швов»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</si>
  <si>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</si>
  <si>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t>Т</t>
  </si>
  <si>
    <t>J</t>
  </si>
  <si>
    <r>
      <rPr>
        <b/>
        <sz val="11"/>
        <rFont val="Times New Roman"/>
        <family val="1"/>
        <charset val="204"/>
      </rPr>
      <t>Мероприятие 2.09</t>
    </r>
    <r>
      <rPr>
        <sz val="11"/>
        <rFont val="Times New Roman"/>
        <family val="1"/>
        <charset val="204"/>
      </rPr>
      <t xml:space="preserve"> 
«Ремонт тротуаров на пл. Тверская (вдоль д. 7 на Тверской пл., д. 5, 5 корп. 1 на Свободном пер.) и на Свободном пер. (вдоль д. 5, 7, 9 на Свободном пер.) в городе Твери»</t>
    </r>
  </si>
  <si>
    <r>
      <rPr>
        <b/>
        <sz val="11"/>
        <rFont val="Times New Roman"/>
        <family val="1"/>
        <charset val="204"/>
      </rPr>
      <t>Мероприятие 2.06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Бурашевское ш. (путепровод через ОЖД в створе Бурашевского ш. - автомобильная дорога М10 «Россия»)»</t>
    </r>
  </si>
  <si>
    <r>
      <rPr>
        <b/>
        <sz val="11"/>
        <rFont val="Times New Roman"/>
        <family val="1"/>
        <charset val="204"/>
      </rPr>
      <t>Мероприятие 2.08</t>
    </r>
    <r>
      <rPr>
        <sz val="11"/>
        <rFont val="Times New Roman"/>
        <family val="1"/>
        <charset val="204"/>
      </rPr>
      <t xml:space="preserve"> 
«Ремонт тротуаров на пл. Мира в городе Твери»</t>
    </r>
  </si>
  <si>
    <r>
      <rPr>
        <b/>
        <sz val="11"/>
        <rFont val="Times New Roman"/>
        <family val="1"/>
        <charset val="204"/>
      </rPr>
      <t>Мероприятие 2.10</t>
    </r>
    <r>
      <rPr>
        <sz val="11"/>
        <rFont val="Times New Roman"/>
        <family val="1"/>
        <charset val="204"/>
      </rPr>
      <t xml:space="preserve"> 
«Ремонт тротуаров на наб. реки Лазурь (от переулка Смоленский до шоссе Московское) в городе Твери»</t>
    </r>
  </si>
  <si>
    <r>
      <rPr>
        <b/>
        <sz val="11"/>
        <rFont val="Times New Roman"/>
        <family val="1"/>
        <charset val="204"/>
      </rPr>
      <t>Мероприятие 2.11</t>
    </r>
    <r>
      <rPr>
        <sz val="11"/>
        <rFont val="Times New Roman"/>
        <family val="1"/>
        <charset val="204"/>
      </rPr>
      <t xml:space="preserve">
«Модернизация линии наружного освещения на Бурашевском шоссе на участке от Бурашевского путепровода до границы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</si>
  <si>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</si>
  <si>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2.07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Старицкое ш. (ул. 1-я Республиканская - автомобильная дорога М-10 «Россия»)»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</si>
  <si>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модернизированной линии»</t>
    </r>
  </si>
  <si>
    <r>
      <rPr>
        <b/>
        <sz val="11"/>
        <rFont val="Times New Roman"/>
        <family val="1"/>
        <charset val="204"/>
      </rPr>
      <t>Мероприятие 2.12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проезд от ул. Вагжанова дом № 5 до дома № 8 по ул. Вокзальная, включая тротуар на ул. Вагжанова вдоль дома № 7»</t>
    </r>
  </si>
  <si>
    <r>
      <rPr>
        <b/>
        <sz val="11"/>
        <rFont val="Times New Roman"/>
        <family val="1"/>
        <charset val="204"/>
      </rPr>
      <t>Мероприятие 2.14</t>
    </r>
    <r>
      <rPr>
        <sz val="11"/>
        <rFont val="Times New Roman"/>
        <family val="1"/>
        <charset val="204"/>
      </rPr>
      <t xml:space="preserve">
«Ремонт автомобильной дороги общего пользования на территории города Твери по адресу: «ул. М. Конева (Комсомольская пл. – ул. Б. Полевого)»</t>
    </r>
  </si>
  <si>
    <r>
      <rPr>
        <b/>
        <sz val="11"/>
        <rFont val="Times New Roman"/>
        <family val="1"/>
        <charset val="204"/>
      </rPr>
      <t>Мероприятие 2.15</t>
    </r>
    <r>
      <rPr>
        <sz val="11"/>
        <rFont val="Times New Roman"/>
        <family val="1"/>
        <charset val="204"/>
      </rPr>
      <t xml:space="preserve"> 
«Ремонт тротуаров на ул. С. Перовской (вдоль домов № 52, 54, 56 на ул. С. Перовской) в городе Твери»</t>
    </r>
  </si>
  <si>
    <r>
      <rPr>
        <b/>
        <sz val="11"/>
        <rFont val="Times New Roman"/>
        <family val="1"/>
        <charset val="204"/>
      </rPr>
      <t>Мероприятие 2.16</t>
    </r>
    <r>
      <rPr>
        <sz val="11"/>
        <rFont val="Times New Roman"/>
        <family val="1"/>
        <charset val="204"/>
      </rPr>
      <t xml:space="preserve"> 
«Ремонт тротуаров на Октябрьском пр-те (ул. Можайского - ул. Королева, нечетная сторона) в городе Твери»</t>
    </r>
  </si>
  <si>
    <r>
      <rPr>
        <b/>
        <sz val="11"/>
        <rFont val="Times New Roman"/>
        <family val="1"/>
        <charset val="204"/>
      </rPr>
      <t>Мероприятие 3.07</t>
    </r>
    <r>
      <rPr>
        <sz val="11"/>
        <rFont val="Times New Roman"/>
        <family val="1"/>
        <charset val="204"/>
      </rPr>
      <t xml:space="preserve">
«Установка видеокамер фиксации нарушения правил дорожного движения»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</si>
  <si>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установленных видеокамер»</t>
    </r>
  </si>
  <si>
    <r>
      <rPr>
        <b/>
        <sz val="11"/>
        <rFont val="Times New Roman"/>
        <family val="1"/>
        <charset val="204"/>
      </rPr>
      <t>Мероприятие 3.08</t>
    </r>
    <r>
      <rPr>
        <sz val="11"/>
        <rFont val="Times New Roman"/>
        <family val="1"/>
        <charset val="204"/>
      </rPr>
      <t xml:space="preserve">
«Обеспечение транспортной безопасности на объектах транспортной инфраструктуры, расположенных на территории города Твери»</t>
    </r>
  </si>
  <si>
    <r>
      <rPr>
        <b/>
        <sz val="11"/>
        <rFont val="Times New Roman"/>
        <family val="1"/>
        <charset val="204"/>
      </rPr>
      <t>Мероприятие 3.02</t>
    </r>
    <r>
      <rPr>
        <sz val="11"/>
        <rFont val="Times New Roman"/>
        <family val="1"/>
        <charset val="204"/>
      </rPr>
      <t xml:space="preserve"> 
«Содержание, 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</si>
  <si>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обслуживаемых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</si>
  <si>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</si>
  <si>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</si>
  <si>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>Мероприятие 2.17</t>
    </r>
    <r>
      <rPr>
        <sz val="11"/>
        <rFont val="Times New Roman"/>
        <family val="1"/>
        <charset val="204"/>
      </rPr>
      <t xml:space="preserve"> 
«Капитальный ремонт автомобильной дороги на территории города Твери по адресу: ул. Республиканская (ул. М. Конева - д. 2 на ул. Республиканская)»</t>
    </r>
  </si>
  <si>
    <r>
      <rPr>
        <b/>
        <sz val="11"/>
        <rFont val="Times New Roman"/>
        <family val="1"/>
        <charset val="204"/>
      </rPr>
      <t>Мероприятие 2.03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качественные дороги»</t>
    </r>
  </si>
  <si>
    <r>
      <rPr>
        <b/>
        <sz val="11"/>
        <rFont val="Times New Roman"/>
        <family val="1"/>
        <charset val="204"/>
      </rPr>
      <t>Мероприятие 2.13</t>
    </r>
    <r>
      <rPr>
        <sz val="11"/>
        <rFont val="Times New Roman"/>
        <family val="1"/>
        <charset val="204"/>
      </rPr>
      <t xml:space="preserve"> 
«Ремонт автомобильной дороги на территории города Твери по адресу: проезд от б-ра Цанова до проезда 1-й Складской (Средний проезд) - проезд 1-й Складской (б-р Цанова - ул. Коминтерна)»</t>
    </r>
  </si>
  <si>
    <r>
      <rPr>
        <b/>
        <sz val="11"/>
        <rFont val="Times New Roman"/>
        <family val="1"/>
        <charset val="204"/>
      </rPr>
      <t>Мероприятие 2.18</t>
    </r>
    <r>
      <rPr>
        <sz val="11"/>
        <rFont val="Times New Roman"/>
        <family val="1"/>
        <charset val="204"/>
      </rPr>
      <t xml:space="preserve"> 
«Проезд от Краснофлотской набережной к гребной базе ГБУ ДО «СДЮСШОР по видам гребли имени олимпийской чемпионки Антонины Серединой» (в т. ч. ПИР)»</t>
    </r>
  </si>
  <si>
    <r>
      <t xml:space="preserve">Показатель 2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</si>
  <si>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объектов транспортной инфраструктуры»</t>
    </r>
  </si>
  <si>
    <r>
      <t xml:space="preserve">Показатель 3 
</t>
    </r>
    <r>
      <rPr>
        <sz val="11"/>
        <rFont val="Times New Roman"/>
        <family val="1"/>
        <charset val="204"/>
      </rPr>
      <t>«Степень выполнения работ»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</si>
  <si>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автомобильных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</si>
  <si>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«Площадь реконструированных автомобильных дорог»</t>
    </r>
  </si>
  <si>
    <t>F</t>
  </si>
  <si>
    <r>
      <rPr>
        <b/>
        <sz val="11"/>
        <rFont val="Times New Roman"/>
        <family val="1"/>
        <charset val="204"/>
      </rPr>
      <t>Мероприятие 3.09</t>
    </r>
    <r>
      <rPr>
        <sz val="11"/>
        <rFont val="Times New Roman"/>
        <family val="1"/>
        <charset val="204"/>
      </rPr>
      <t xml:space="preserve">
«Создание муниципальной геоинформационной системы ливневого водоотведения города Твери»</t>
    </r>
  </si>
  <si>
    <r>
      <t xml:space="preserve">Мероприятие 2.19
</t>
    </r>
    <r>
      <rPr>
        <sz val="11"/>
        <rFont val="Times New Roman"/>
        <family val="1"/>
        <charset val="204"/>
      </rPr>
      <t>«Ремонт тротуаров по ул. Советская от Волжского пр-да (четная сторона) и от Свободного пер. (нечетная сторона) до Тверского проспекта»</t>
    </r>
  </si>
  <si>
    <r>
      <t xml:space="preserve">Мероприятие 2.20
</t>
    </r>
    <r>
      <rPr>
        <sz val="11"/>
        <rFont val="Times New Roman"/>
        <family val="1"/>
        <charset val="204"/>
      </rPr>
      <t>«Ремонт тротуаров на Театральной площади (ул. Советская – ул. Новоторжская)»</t>
    </r>
  </si>
  <si>
    <r>
      <t xml:space="preserve">Мероприятие 2.21
</t>
    </r>
    <r>
      <rPr>
        <sz val="11"/>
        <rFont val="Times New Roman"/>
        <family val="1"/>
        <charset val="204"/>
      </rPr>
      <t>«Ремонт тротуаров на наб. А. Никитина (памятник А. Никитину – Артиллерийский пер., четная сторона) 1, 2, 3 этапы»</t>
    </r>
  </si>
  <si>
    <r>
      <t xml:space="preserve">Мероприятие 2.22
</t>
    </r>
    <r>
      <rPr>
        <sz val="11"/>
        <rFont val="Times New Roman"/>
        <family val="1"/>
        <charset val="204"/>
      </rPr>
      <t>«Ремонт тротуаров на ул. Скворцова-Степанова – ул. Малая Тверская (ул. А. Никитина – ул. Кольцевая)»</t>
    </r>
  </si>
  <si>
    <r>
      <t xml:space="preserve">Мероприятие 2.23
</t>
    </r>
    <r>
      <rPr>
        <sz val="11"/>
        <rFont val="Times New Roman"/>
        <family val="1"/>
        <charset val="204"/>
      </rPr>
      <t>«Ремонт тротуаров на ул. Серебряная (ул. Салтыкова-Щедрина – пер. Смоленский)»</t>
    </r>
  </si>
  <si>
    <r>
      <t xml:space="preserve">Мероприятие 2.24
</t>
    </r>
    <r>
      <rPr>
        <sz val="11"/>
        <rFont val="Times New Roman"/>
        <family val="1"/>
        <charset val="204"/>
      </rPr>
      <t>«Ремонт тротуаров на наб. Степана Разина (пер. Свободный –пер. Студенческий)»</t>
    </r>
  </si>
  <si>
    <r>
      <rPr>
        <b/>
        <sz val="11"/>
        <rFont val="Times New Roman"/>
        <family val="1"/>
        <charset val="204"/>
      </rPr>
      <t>Мероприятие 2.25</t>
    </r>
    <r>
      <rPr>
        <sz val="11"/>
        <rFont val="Times New Roman"/>
        <family val="1"/>
        <charset val="204"/>
      </rPr>
      <t xml:space="preserve"> 
«Капитальный ремонт автомобильной дороги по адресу: проезд от Краснофлотской набережной к гребной базе ГБУ ДО «СДЮСШОР» по видам гребли имени олимпийской чемпионки Антонины Серединой»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</si>
  <si>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«Протяженность построенной автомобильной дороги»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</si>
  <si>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разработанных геоинформационных систем»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</si>
  <si>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отремонтированной парковки»</t>
    </r>
  </si>
  <si>
    <t>м3</t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</si>
  <si>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«Промывка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</si>
  <si>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4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</si>
  <si>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</si>
  <si>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6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</si>
  <si>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Показатель 7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</si>
  <si>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</si>
  <si>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9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</si>
  <si>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11</t>
    </r>
    <r>
      <rPr>
        <sz val="11"/>
        <rFont val="Times New Roman"/>
        <family val="1"/>
        <charset val="204"/>
      </rPr>
      <t xml:space="preserve">
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</si>
  <si>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 xml:space="preserve">Показатель 10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Московского района»</t>
    </r>
  </si>
  <si>
    <r>
      <rPr>
        <b/>
        <sz val="11"/>
        <rFont val="Times New Roman"/>
        <family val="1"/>
        <charset val="204"/>
      </rPr>
      <t>Мероприятие 2.26</t>
    </r>
    <r>
      <rPr>
        <sz val="11"/>
        <rFont val="Times New Roman"/>
        <family val="1"/>
        <charset val="204"/>
      </rPr>
      <t xml:space="preserve"> 
«Ремонт тротуаров на наб. А. Никитина (памятник А. Никитину-Артиллерийский пер., четная сторона), 4, 5 этапы»</t>
    </r>
  </si>
  <si>
    <r>
      <rPr>
        <b/>
        <sz val="11"/>
        <rFont val="Times New Roman"/>
        <family val="1"/>
        <charset val="204"/>
      </rPr>
      <t>Мероприятие 2.27</t>
    </r>
    <r>
      <rPr>
        <sz val="11"/>
        <rFont val="Times New Roman"/>
        <family val="1"/>
        <charset val="204"/>
      </rPr>
      <t xml:space="preserve"> 
«Ремонт тротуаров на пр-те Победы (Волоколамский пр-т - ул. Лукина, четная сторона)»</t>
    </r>
  </si>
  <si>
    <r>
      <rPr>
        <b/>
        <sz val="11"/>
        <rFont val="Times New Roman"/>
        <family val="1"/>
        <charset val="204"/>
      </rPr>
      <t>Мероприятие 2.28</t>
    </r>
    <r>
      <rPr>
        <sz val="11"/>
        <rFont val="Times New Roman"/>
        <family val="1"/>
        <charset val="204"/>
      </rPr>
      <t xml:space="preserve"> 
«Ремонт тротуаров на пр-те Чайковского (ул. Коробкова - пл. Капошвара, нечетная сторона»</t>
    </r>
  </si>
  <si>
    <r>
      <rPr>
        <b/>
        <sz val="11"/>
        <rFont val="Times New Roman"/>
        <family val="1"/>
        <charset val="204"/>
      </rPr>
      <t>Мероприятие 2.29</t>
    </r>
    <r>
      <rPr>
        <sz val="11"/>
        <rFont val="Times New Roman"/>
        <family val="1"/>
        <charset val="204"/>
      </rPr>
      <t xml:space="preserve"> 
«Ремонт тротуаров на Тверском проспекте (Новый Волжский мост - ул. Желябова)»</t>
    </r>
  </si>
  <si>
    <r>
      <rPr>
        <b/>
        <sz val="11"/>
        <rFont val="Times New Roman"/>
        <family val="1"/>
        <charset val="204"/>
      </rPr>
      <t>Мероприятие 2.30</t>
    </r>
    <r>
      <rPr>
        <sz val="11"/>
        <rFont val="Times New Roman"/>
        <family val="1"/>
        <charset val="204"/>
      </rPr>
      <t xml:space="preserve"> 
«Ремонт тротуаров на пер. Свободном (ул. Советская - до ул. наб. С. Разина)»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</si>
  <si>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модернизированной линии»</t>
    </r>
  </si>
  <si>
    <r>
      <rPr>
        <b/>
        <sz val="11"/>
        <rFont val="Times New Roman"/>
        <family val="1"/>
        <charset val="204"/>
      </rPr>
      <t xml:space="preserve">Мероприятие 2.31
</t>
    </r>
    <r>
      <rPr>
        <sz val="11"/>
        <rFont val="Times New Roman"/>
        <family val="1"/>
        <charset val="204"/>
      </rPr>
      <t>«Модернизация линии наружного освещения на Тверском проспекте (от ул. Желябова до ул. Вольного Новгорода)»</t>
    </r>
  </si>
  <si>
    <r>
      <t xml:space="preserve">Показатель 4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</si>
  <si>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</si>
  <si>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</si>
  <si>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Мероприятие 1.06
</t>
    </r>
    <r>
      <rPr>
        <sz val="11"/>
        <rFont val="Times New Roman"/>
        <family val="1"/>
        <charset val="204"/>
      </rPr>
      <t xml:space="preserve">«Организация наружного освещения на Бурашевском шоссе на участке от  границы города до автомобильной дороги федерального значения М-10 Россия» </t>
    </r>
  </si>
  <si>
    <r>
      <t xml:space="preserve">Мероприятие 1.07
</t>
    </r>
    <r>
      <rPr>
        <sz val="11"/>
        <rFont val="Times New Roman"/>
        <family val="1"/>
        <charset val="204"/>
      </rPr>
      <t>«Пешеходный мост через р. Тьмака в г. Твери Тверской области»</t>
    </r>
  </si>
  <si>
    <r>
      <t xml:space="preserve">Мероприятие 1.08
</t>
    </r>
    <r>
      <rPr>
        <sz val="11"/>
        <rFont val="Times New Roman"/>
        <family val="1"/>
        <charset val="204"/>
      </rPr>
      <t>«Организация наружного освещения улицы Оснабрюкская (от ул. Складская до д.32 по ул. Оснабрюкская) (2-ой этап)»</t>
    </r>
  </si>
  <si>
    <r>
      <t xml:space="preserve">Мероприятие 1.09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 ул. Псковская до ул. Садовая)»</t>
    </r>
  </si>
  <si>
    <r>
      <t xml:space="preserve">Мероприятие 1.10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ул. Садовая до д. 5 по ул. Ключевая)»</t>
    </r>
  </si>
  <si>
    <r>
      <t xml:space="preserve">Мероприятие 1.11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д. 5 до д. 55 по ул. Ключевая)»</t>
    </r>
  </si>
  <si>
    <r>
      <t xml:space="preserve">Мероприятие 1.04
</t>
    </r>
    <r>
      <rPr>
        <sz val="11"/>
        <rFont val="Times New Roman"/>
        <family val="1"/>
        <charset val="204"/>
      </rPr>
      <t>«Автодорога по ул.Левитана от д.52 до ул.Можайского»</t>
    </r>
  </si>
  <si>
    <r>
      <t xml:space="preserve">Мероприятие 1.05
</t>
    </r>
    <r>
      <rPr>
        <sz val="11"/>
        <rFont val="Times New Roman"/>
        <family val="1"/>
        <charset val="204"/>
      </rPr>
      <t>«Наружное освещение»</t>
    </r>
  </si>
  <si>
    <t>Бортн, Респуб</t>
  </si>
  <si>
    <r>
      <t xml:space="preserve">Показатель 5 
</t>
    </r>
    <r>
      <rPr>
        <sz val="11"/>
        <rFont val="Times New Roman"/>
        <family val="1"/>
        <charset val="204"/>
      </rPr>
      <t>«Степень выполнения работ»</t>
    </r>
  </si>
  <si>
    <r>
      <rPr>
        <b/>
        <sz val="11"/>
        <rFont val="Times New Roman"/>
        <family val="1"/>
        <charset val="204"/>
      </rPr>
      <t xml:space="preserve">Мероприятие 2.32
</t>
    </r>
    <r>
      <rPr>
        <sz val="11"/>
        <rFont val="Times New Roman"/>
        <family val="1"/>
        <charset val="204"/>
      </rPr>
      <t>«Модернизация линии наружного освещения на бул. Радищева (от ул. А. Дементьева до Свободного пер.)»</t>
    </r>
  </si>
  <si>
    <r>
      <rPr>
        <b/>
        <sz val="11"/>
        <rFont val="Times New Roman"/>
        <family val="1"/>
        <charset val="204"/>
      </rPr>
      <t xml:space="preserve">Мероприятие 2.33
</t>
    </r>
    <r>
      <rPr>
        <sz val="11"/>
        <rFont val="Times New Roman"/>
        <family val="1"/>
        <charset val="204"/>
      </rPr>
      <t>«Ремонт проезда от Сахаровского шоссе до стекольного завода»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</si>
  <si>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отремонтированной автомобильной дороги»</t>
    </r>
  </si>
  <si>
    <r>
      <t xml:space="preserve">Показатель 1
</t>
    </r>
    <r>
      <rPr>
        <sz val="11"/>
        <rFont val="Times New Roman"/>
        <family val="1"/>
        <charset val="204"/>
      </rPr>
      <t>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</si>
  <si>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Мероприятие 2.34
</t>
    </r>
    <r>
      <rPr>
        <sz val="11"/>
        <rFont val="Times New Roman"/>
        <family val="1"/>
        <charset val="204"/>
      </rPr>
      <t>«Модернизация линии наружного освещения на Волжском проезде (участок от Староволжского моста до ул. Советская в г. Твери)»</t>
    </r>
  </si>
  <si>
    <t>Куклиновка - 280,5</t>
  </si>
  <si>
    <t>Железнодорожников - 813,4+416,1</t>
  </si>
  <si>
    <t>Голландская - 456,5</t>
  </si>
  <si>
    <t>Судаков</t>
  </si>
  <si>
    <t>Гапошкин</t>
  </si>
  <si>
    <t>Не изменяла</t>
  </si>
  <si>
    <t>по МК</t>
  </si>
  <si>
    <r>
      <t xml:space="preserve">Показатель 1
</t>
    </r>
    <r>
      <rPr>
        <sz val="11"/>
        <rFont val="Times New Roman"/>
        <family val="1"/>
        <charset val="204"/>
      </rPr>
      <t>«Площадь отремонтированных тротуаров»</t>
    </r>
  </si>
  <si>
    <t>новое</t>
  </si>
  <si>
    <r>
      <rPr>
        <b/>
        <sz val="11"/>
        <rFont val="Times New Roman"/>
        <family val="1"/>
        <charset val="204"/>
      </rPr>
      <t xml:space="preserve">Мероприятие 2.40
</t>
    </r>
    <r>
      <rPr>
        <sz val="11"/>
        <rFont val="Times New Roman"/>
        <family val="1"/>
        <charset val="204"/>
      </rPr>
      <t>«Ремонт тротуаров на Петербургском шоссе (четная сторона)»</t>
    </r>
  </si>
  <si>
    <r>
      <rPr>
        <b/>
        <sz val="11"/>
        <rFont val="Times New Roman"/>
        <family val="1"/>
        <charset val="204"/>
      </rPr>
      <t xml:space="preserve">Мероприятие 2.41
</t>
    </r>
    <r>
      <rPr>
        <sz val="11"/>
        <rFont val="Times New Roman"/>
        <family val="1"/>
        <charset val="204"/>
      </rPr>
      <t>«Ремонт тротуаров на ул. Хрустальная - ул. Благоева»</t>
    </r>
  </si>
  <si>
    <r>
      <rPr>
        <b/>
        <sz val="11"/>
        <rFont val="Times New Roman"/>
        <family val="1"/>
        <charset val="204"/>
      </rPr>
      <t xml:space="preserve">Мероприятие 2.42
</t>
    </r>
    <r>
      <rPr>
        <sz val="11"/>
        <rFont val="Times New Roman"/>
        <family val="1"/>
        <charset val="204"/>
      </rPr>
      <t>«Ремонт тротуаров на Октябрьском проспекте (четная сторона)»</t>
    </r>
  </si>
  <si>
    <r>
      <rPr>
        <b/>
        <sz val="11"/>
        <rFont val="Times New Roman"/>
        <family val="1"/>
        <charset val="204"/>
      </rPr>
      <t xml:space="preserve">Мероприятие 2.43
</t>
    </r>
    <r>
      <rPr>
        <sz val="11"/>
        <rFont val="Times New Roman"/>
        <family val="1"/>
        <charset val="204"/>
      </rPr>
      <t>«Ремонт тротуаров на проезде от ул. П. Савельевой до МОУ СОШ № 15»</t>
    </r>
  </si>
  <si>
    <r>
      <rPr>
        <b/>
        <sz val="11"/>
        <rFont val="Times New Roman"/>
        <family val="1"/>
        <charset val="204"/>
      </rPr>
      <t xml:space="preserve">Мероприятие 2.44
</t>
    </r>
    <r>
      <rPr>
        <sz val="11"/>
        <rFont val="Times New Roman"/>
        <family val="1"/>
        <charset val="204"/>
      </rPr>
      <t>«Подъезд к муниципальному общеобразовательному учреждению средней общеобразовательной школе № 15 (Молодежный бульвар, дом № 10 корпус 2) с разворотной площадкой»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</si>
  <si>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ремонта территории»</t>
    </r>
  </si>
  <si>
    <r>
      <rPr>
        <b/>
        <sz val="11"/>
        <rFont val="Times New Roman"/>
        <family val="1"/>
        <charset val="204"/>
      </rPr>
      <t xml:space="preserve">Мероприятие 2.45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Торговый проезд (ул.П.Савельевой-10 на Торговом проезде)»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</si>
  <si>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«Протяженность содержания сетей ливневой канализации»</t>
    </r>
  </si>
  <si>
    <r>
      <t xml:space="preserve">Мероприятие 1.03
</t>
    </r>
    <r>
      <rPr>
        <sz val="11"/>
        <rFont val="Times New Roman"/>
        <family val="1"/>
        <charset val="204"/>
      </rPr>
      <t>«Внутриквартальный проезд от ул. Левитана до б-ра Гусева в г. Твери»</t>
    </r>
  </si>
  <si>
    <r>
      <rPr>
        <b/>
        <sz val="11"/>
        <rFont val="Times New Roman"/>
        <family val="1"/>
        <charset val="204"/>
      </rPr>
      <t xml:space="preserve">Мероприятие 2.35
</t>
    </r>
    <r>
      <rPr>
        <sz val="11"/>
        <rFont val="Times New Roman"/>
        <family val="1"/>
        <charset val="204"/>
      </rPr>
      <t>«Ремонт тротуара по ул.Фрунзе (на участке от ул.П. Савельевой до дома № 2 по ул.Фрунзе) в городе Твери»</t>
    </r>
  </si>
  <si>
    <r>
      <rPr>
        <b/>
        <sz val="11"/>
        <rFont val="Times New Roman"/>
        <family val="1"/>
        <charset val="204"/>
      </rPr>
      <t xml:space="preserve">Мероприятие 2.36
</t>
    </r>
    <r>
      <rPr>
        <sz val="11"/>
        <rFont val="Times New Roman"/>
        <family val="1"/>
        <charset val="204"/>
      </rPr>
      <t>«Ремонт тротуаров на нижней террасе наб. Степана Разина (Старый Волжский мост - Студенческий пер.)»</t>
    </r>
  </si>
  <si>
    <r>
      <rPr>
        <b/>
        <sz val="11"/>
        <rFont val="Times New Roman"/>
        <family val="1"/>
        <charset val="204"/>
      </rPr>
      <t xml:space="preserve">Мероприятие 2.38
</t>
    </r>
    <r>
      <rPr>
        <sz val="11"/>
        <rFont val="Times New Roman"/>
        <family val="1"/>
        <charset val="204"/>
      </rPr>
      <t>«Ремонт тротуаров на пр-те Ленина (пл. Комсомольская - ул. 1-я Республиканская)»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</si>
  <si>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отремонтированного тротуара»</t>
    </r>
  </si>
  <si>
    <r>
      <rPr>
        <b/>
        <sz val="11"/>
        <rFont val="Times New Roman"/>
        <family val="1"/>
        <charset val="204"/>
      </rPr>
      <t xml:space="preserve">Административное мероприятие 4.01 
</t>
    </r>
    <r>
      <rPr>
        <sz val="11"/>
        <rFont val="Times New Roman"/>
        <family val="1"/>
        <charset val="204"/>
      </rPr>
      <t>«Контроль динамики дебиторской задолженности по неналоговым доходам»</t>
    </r>
  </si>
  <si>
    <r>
      <rPr>
        <b/>
        <sz val="11"/>
        <rFont val="Times New Roman"/>
        <family val="1"/>
        <charset val="204"/>
      </rPr>
      <t xml:space="preserve">Административное мероприятие 4.02 
</t>
    </r>
    <r>
      <rPr>
        <sz val="11"/>
        <rFont val="Times New Roman"/>
        <family val="1"/>
        <charset val="204"/>
      </rPr>
      <t>«Защита законных интересов муниципального образования город Тверь, правовое сопровождение деятельности департамента»</t>
    </r>
  </si>
  <si>
    <t>Задача 4 
«Управление дебиторской задолженностью»</t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</si>
  <si>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«Доля сомнительной дебиторской задолженности»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</si>
  <si>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поданных исковых заявлений в судебные органы по взысканию неустоек (пеней, штрафов)»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</si>
  <si>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направленных исполнительных листов в службу судебных приставов для принудительного взыскания долга»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</si>
  <si>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«Доля дебиторской задолженности, утраченной к взысканию»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</si>
  <si>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«Дебиторская задолженность, возникшая и не исполненная в отчетном периоде»</t>
    </r>
  </si>
  <si>
    <r>
      <rPr>
        <b/>
        <sz val="11"/>
        <rFont val="Times New Roman"/>
        <family val="1"/>
        <charset val="204"/>
      </rPr>
      <t xml:space="preserve">Мероприятие 2.39
</t>
    </r>
    <r>
      <rPr>
        <sz val="11"/>
        <rFont val="Times New Roman"/>
        <family val="1"/>
        <charset val="204"/>
      </rPr>
      <t>«Мост через реку Волга в створе проезда Волжский и площади Мира (окрашивание металлических конструкций, замена деформационных швов)»</t>
    </r>
  </si>
  <si>
    <r>
      <rPr>
        <b/>
        <sz val="11"/>
        <rFont val="Times New Roman"/>
        <family val="1"/>
        <charset val="204"/>
      </rPr>
      <t xml:space="preserve">Мероприятие 2.48
</t>
    </r>
    <r>
      <rPr>
        <sz val="11"/>
        <rFont val="Times New Roman"/>
        <family val="1"/>
        <charset val="204"/>
      </rPr>
      <t>«Ремонт тротуаров и модернизация линий наружного освещения на ул. А. Дементьева (ул. Крылова - ул. Советская), ул. Советская (ул. А. Дементьева - пл. Пушкина) (четная сторона)»</t>
    </r>
  </si>
  <si>
    <r>
      <rPr>
        <b/>
        <sz val="11"/>
        <rFont val="Times New Roman"/>
        <family val="1"/>
        <charset val="204"/>
      </rPr>
      <t xml:space="preserve">Мероприятие 2.49
</t>
    </r>
    <r>
      <rPr>
        <sz val="11"/>
        <rFont val="Times New Roman"/>
        <family val="1"/>
        <charset val="204"/>
      </rPr>
      <t>«Организация линии наружного освещения на бульваре Гусева (от улицы Можайского до дома № 36 на бульваре Гусева; от дома 42 на бульваре Гусева до дома № 99 на Октябрьском пр.)»</t>
    </r>
  </si>
  <si>
    <r>
      <rPr>
        <b/>
        <sz val="11"/>
        <rFont val="Times New Roman"/>
        <family val="1"/>
        <charset val="204"/>
      </rPr>
      <t xml:space="preserve">Мероприятие 2.50
</t>
    </r>
    <r>
      <rPr>
        <sz val="11"/>
        <rFont val="Times New Roman"/>
        <family val="1"/>
        <charset val="204"/>
      </rPr>
      <t>«Ремонт проезда от ул. Вагжанова до д. № 141 по ул. Вагжанова (УФСИН)»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</si>
  <si>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ремонта территории»</t>
    </r>
  </si>
  <si>
    <r>
      <rPr>
        <b/>
        <sz val="11"/>
        <rFont val="Times New Roman"/>
        <family val="1"/>
        <charset val="204"/>
      </rPr>
      <t xml:space="preserve">Мероприятие 2.51
</t>
    </r>
    <r>
      <rPr>
        <sz val="11"/>
        <rFont val="Times New Roman"/>
        <family val="1"/>
        <charset val="204"/>
      </rPr>
      <t>«Капитальный ремонт ул. Сергея Тюленина от ул. Красина до ул. Плеханова»</t>
    </r>
  </si>
  <si>
    <r>
      <rPr>
        <b/>
        <sz val="11"/>
        <rFont val="Times New Roman"/>
        <family val="1"/>
        <charset val="204"/>
      </rPr>
      <t xml:space="preserve">Мероприятие 2.52
</t>
    </r>
    <r>
      <rPr>
        <sz val="11"/>
        <rFont val="Times New Roman"/>
        <family val="1"/>
        <charset val="204"/>
      </rPr>
      <t>«Ремонт тротуаров на ул. Новая Заря (ул. Академика Туполева– ул. Кропоткина)»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</si>
  <si>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линии наружного освещения»</t>
    </r>
  </si>
  <si>
    <t>ф.б.=268,5+19153,4=19421,9</t>
  </si>
  <si>
    <t>о.б.=6,7+473,9=480,6</t>
  </si>
  <si>
    <t>г.б.=232,0+1,7+118,5=352,2</t>
  </si>
  <si>
    <t>ф.б.=114 368,5</t>
  </si>
  <si>
    <t>г.б.=6 229,1</t>
  </si>
  <si>
    <r>
      <t>2023</t>
    </r>
    <r>
      <rPr>
        <b/>
        <sz val="16"/>
        <rFont val="Times New Roman"/>
        <family val="1"/>
        <charset val="204"/>
      </rPr>
      <t xml:space="preserve">  3.05 - ИТС</t>
    </r>
  </si>
  <si>
    <r>
      <t>2023</t>
    </r>
    <r>
      <rPr>
        <sz val="16"/>
        <rFont val="Times New Roman"/>
        <family val="1"/>
        <charset val="204"/>
      </rPr>
      <t xml:space="preserve">  </t>
    </r>
    <r>
      <rPr>
        <b/>
        <sz val="16"/>
        <rFont val="Times New Roman"/>
        <family val="1"/>
        <charset val="204"/>
      </rPr>
      <t>1.04 - Левитана</t>
    </r>
  </si>
  <si>
    <t>обустройство тротуаров</t>
  </si>
  <si>
    <r>
      <rPr>
        <b/>
        <sz val="11"/>
        <rFont val="Times New Roman"/>
        <family val="1"/>
        <charset val="204"/>
      </rPr>
      <t xml:space="preserve">Мероприятие 2.46
</t>
    </r>
    <r>
      <rPr>
        <sz val="11"/>
        <rFont val="Times New Roman"/>
        <family val="1"/>
        <charset val="204"/>
      </rPr>
      <t>«Подъезд к муниципальным образовательным учреждениям с разворотной площадкой»</t>
    </r>
  </si>
  <si>
    <t>2023</t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</si>
  <si>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«Дебиторская задолженность на конец отчетного периода»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</si>
  <si>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«Динамика снижения общего объема дебиторской задолженности на конец отчетного периода»</t>
    </r>
  </si>
  <si>
    <t>считать в ручную</t>
  </si>
  <si>
    <t>считать вручную</t>
  </si>
  <si>
    <r>
      <rPr>
        <b/>
        <sz val="11"/>
        <rFont val="Times New Roman"/>
        <family val="1"/>
        <charset val="204"/>
      </rPr>
      <t xml:space="preserve">Мероприятие 2.53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Староверский пер. (ул. Батинская - ул. Киселевская) - ул. Твериводицкая (ул. Киселевская - д. 36 на ул. Твериводицкая)»</t>
    </r>
  </si>
  <si>
    <r>
      <rPr>
        <b/>
        <sz val="11"/>
        <rFont val="Times New Roman"/>
        <family val="1"/>
        <charset val="204"/>
      </rPr>
      <t xml:space="preserve">Мероприятие 2.47
</t>
    </r>
    <r>
      <rPr>
        <sz val="11"/>
        <rFont val="Times New Roman"/>
        <family val="1"/>
        <charset val="204"/>
      </rPr>
      <t>«Ремонт тротуаров на пр-те Победы (пл. Капошвара - Волоколамский пр-т)»</t>
    </r>
  </si>
  <si>
    <r>
      <rPr>
        <b/>
        <sz val="11"/>
        <rFont val="Times New Roman"/>
        <family val="1"/>
        <charset val="204"/>
      </rPr>
      <t xml:space="preserve">Мероприятие 2.37
</t>
    </r>
    <r>
      <rPr>
        <sz val="11"/>
        <rFont val="Times New Roman"/>
        <family val="1"/>
        <charset val="204"/>
      </rPr>
      <t>«Ремонт тротуаров на Волоколамском пр-те (б-р Цанова - пр-т Победы, нечетная сторона)»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</si>
  <si>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«Общее количество согласований»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</si>
  <si>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транспортных средств, приобретенных посредством финансовой аренды (лизинг)»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</si>
  <si>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«Степень выполнения мероприятия» </t>
    </r>
  </si>
  <si>
    <r>
      <rPr>
        <b/>
        <sz val="11"/>
        <rFont val="Times New Roman"/>
        <family val="1"/>
        <charset val="204"/>
      </rPr>
      <t>Мероприятие 3.10</t>
    </r>
    <r>
      <rPr>
        <sz val="11"/>
        <rFont val="Times New Roman"/>
        <family val="1"/>
        <charset val="204"/>
      </rPr>
      <t xml:space="preserve"> 
«Погашение кредиторской задолженности бюджетных учреждений, оказывающих услуги по содержанию автомобильных дорог общего пользования и искусственных сооружений на них»</t>
    </r>
  </si>
  <si>
    <r>
      <rPr>
        <b/>
        <sz val="11"/>
        <rFont val="Times New Roman"/>
        <family val="1"/>
        <charset val="204"/>
      </rPr>
      <t xml:space="preserve">Мероприятие 2.55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проезд от переулка Смоленский до набережной реки Лазури»</t>
    </r>
  </si>
  <si>
    <r>
      <rPr>
        <b/>
        <sz val="11"/>
        <rFont val="Times New Roman"/>
        <family val="1"/>
        <charset val="204"/>
      </rPr>
      <t xml:space="preserve">Мероприятие 2.56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ул. А. Каргина (ул. Дементьева - пл. Славы, д. 3)»</t>
    </r>
  </si>
  <si>
    <r>
      <rPr>
        <b/>
        <sz val="11"/>
        <rFont val="Times New Roman"/>
        <family val="1"/>
        <charset val="204"/>
      </rPr>
      <t xml:space="preserve">Мероприятие 2.57
</t>
    </r>
    <r>
      <rPr>
        <sz val="11"/>
        <rFont val="Times New Roman"/>
        <family val="1"/>
        <charset val="204"/>
      </rPr>
      <t>«Капитальный ремонт ул. Гончаровой - ул. Баррикадная - ул. Большевиков (устройство тротуаров)»</t>
    </r>
  </si>
  <si>
    <r>
      <rPr>
        <b/>
        <sz val="11"/>
        <rFont val="Times New Roman"/>
        <family val="1"/>
        <charset val="204"/>
      </rPr>
      <t xml:space="preserve">Мероприятие 2.58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ул. Загородная (ул. Левитана - проезд от шоссе Бурашевское до улицы Левитана мимо родильного дома № 1 (ул. Можайского, д. 64)»</t>
    </r>
  </si>
  <si>
    <r>
      <rPr>
        <b/>
        <sz val="11"/>
        <rFont val="Times New Roman"/>
        <family val="1"/>
        <charset val="204"/>
      </rPr>
      <t xml:space="preserve">Мероприятие 2.54
</t>
    </r>
    <r>
      <rPr>
        <sz val="11"/>
        <rFont val="Times New Roman"/>
        <family val="1"/>
        <charset val="204"/>
      </rPr>
      <t>«Установка освещения на ул. Фрунзе (от ул. П. Савельевой до ул. Планерная)»</t>
    </r>
  </si>
  <si>
    <t>Приложение 1
к постановлению Администрации города Твери
от  28.06.2024  года № 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</si>
</sst>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#,##0.0000"/>
  </numFmts>
  <fonts count="2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u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color rgb="FF00B05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3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49" fontId="1" fillId="3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8" fillId="6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49" fontId="2" fillId="3" borderId="0" xfId="0" applyNumberFormat="1" applyFont="1" applyFill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3" borderId="0" xfId="0" applyNumberFormat="1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3" fillId="3" borderId="0" xfId="0" applyNumberFormat="1" applyFont="1" applyFill="1" applyAlignment="1">
      <alignment horizontal="left" vertical="center" wrapText="1"/>
    </xf>
    <xf numFmtId="49" fontId="14" fillId="3" borderId="0" xfId="0" applyNumberFormat="1" applyFont="1" applyFill="1" applyAlignment="1">
      <alignment horizontal="center" vertical="center" wrapText="1"/>
    </xf>
    <xf numFmtId="164" fontId="14" fillId="3" borderId="0" xfId="0" applyNumberFormat="1" applyFont="1" applyFill="1" applyAlignment="1">
      <alignment horizontal="center" vertical="center" wrapText="1"/>
    </xf>
    <xf numFmtId="49" fontId="14" fillId="3" borderId="0" xfId="0" applyNumberFormat="1" applyFont="1" applyFill="1" applyAlignment="1">
      <alignment horizontal="left" vertical="center" wrapText="1"/>
    </xf>
    <xf numFmtId="49" fontId="15" fillId="3" borderId="0" xfId="0" applyNumberFormat="1" applyFont="1" applyFill="1" applyAlignment="1">
      <alignment vertical="center" wrapText="1"/>
    </xf>
    <xf numFmtId="49" fontId="16" fillId="3" borderId="0" xfId="0" applyNumberFormat="1" applyFont="1" applyFill="1" applyAlignment="1">
      <alignment horizontal="left" vertical="center" wrapText="1"/>
    </xf>
    <xf numFmtId="49" fontId="16" fillId="3" borderId="0" xfId="0" applyNumberFormat="1" applyFont="1" applyFill="1" applyAlignment="1">
      <alignment vertical="center" wrapText="1"/>
    </xf>
    <xf numFmtId="4" fontId="15" fillId="3" borderId="0" xfId="0" applyNumberFormat="1" applyFont="1" applyFill="1" applyAlignment="1">
      <alignment horizontal="left" vertical="center" wrapText="1"/>
    </xf>
    <xf numFmtId="49" fontId="15" fillId="3" borderId="0" xfId="0" applyNumberFormat="1" applyFont="1" applyFill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49" fontId="9" fillId="3" borderId="0" xfId="0" applyNumberFormat="1" applyFont="1" applyFill="1" applyAlignment="1">
      <alignment horizontal="left" vertical="center" wrapText="1"/>
    </xf>
    <xf numFmtId="49" fontId="14" fillId="7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14" fillId="3" borderId="0" xfId="0" applyNumberFormat="1" applyFont="1" applyFill="1" applyAlignment="1">
      <alignment horizontal="left" vertical="center" wrapText="1"/>
    </xf>
    <xf numFmtId="4" fontId="13" fillId="3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17" fillId="3" borderId="0" xfId="0" applyNumberFormat="1" applyFont="1" applyFill="1" applyAlignment="1">
      <alignment horizontal="center" vertical="center" wrapText="1"/>
    </xf>
    <xf numFmtId="49" fontId="11" fillId="3" borderId="0" xfId="0" applyNumberFormat="1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164" fontId="8" fillId="3" borderId="0" xfId="0" applyNumberFormat="1" applyFont="1" applyFill="1" applyAlignment="1">
      <alignment horizontal="center" vertical="center" wrapText="1"/>
    </xf>
    <xf numFmtId="49" fontId="8" fillId="3" borderId="0" xfId="0" applyNumberFormat="1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49" fontId="15" fillId="3" borderId="0" xfId="0" applyNumberFormat="1" applyFont="1" applyFill="1" applyAlignment="1">
      <alignment horizontal="center" vertical="center" wrapText="1"/>
    </xf>
    <xf numFmtId="164" fontId="15" fillId="6" borderId="0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6" fillId="3" borderId="0" xfId="0" applyNumberFormat="1" applyFont="1" applyFill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7" fillId="3" borderId="0" xfId="0" applyNumberFormat="1" applyFont="1" applyFill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49" fontId="19" fillId="3" borderId="0" xfId="0" applyNumberFormat="1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left" vertical="center" wrapText="1"/>
    </xf>
    <xf numFmtId="49" fontId="14" fillId="8" borderId="0" xfId="0" applyNumberFormat="1" applyFont="1" applyFill="1" applyAlignment="1">
      <alignment horizontal="left" vertical="center" wrapText="1"/>
    </xf>
    <xf numFmtId="49" fontId="13" fillId="2" borderId="0" xfId="0" applyNumberFormat="1" applyFont="1" applyFill="1" applyAlignment="1">
      <alignment horizontal="left" vertical="center" wrapText="1"/>
    </xf>
    <xf numFmtId="49" fontId="21" fillId="3" borderId="0" xfId="0" applyNumberFormat="1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49" fontId="13" fillId="3" borderId="5" xfId="0" applyNumberFormat="1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96"/>
  <sheetViews>
    <sheetView tabSelected="1" view="pageBreakPreview" topLeftCell="M2" zoomScale="90" zoomScaleNormal="70" zoomScaleSheetLayoutView="90" zoomScalePageLayoutView="80" workbookViewId="0">
      <selection activeCell="V2" sqref="V2:AA2"/>
    </sheetView>
  </sheetViews>
  <sheetFormatPr defaultColWidth="8.7109375" defaultRowHeight="20.25" outlineLevelCol="1" x14ac:dyDescent="0.25"/>
  <cols>
    <col min="1" max="9" width="2.28515625" style="31" customWidth="1"/>
    <col min="10" max="16" width="2.7109375" style="31" customWidth="1"/>
    <col min="17" max="17" width="3.28515625" style="31" customWidth="1"/>
    <col min="18" max="18" width="72.140625" style="32" customWidth="1"/>
    <col min="19" max="19" width="7.28515625" style="32" customWidth="1"/>
    <col min="20" max="20" width="12" style="104" customWidth="1"/>
    <col min="21" max="21" width="12.7109375" style="31" customWidth="1"/>
    <col min="22" max="22" width="11.7109375" style="31" customWidth="1"/>
    <col min="23" max="24" width="12.28515625" style="31" customWidth="1"/>
    <col min="25" max="25" width="12.140625" style="31" customWidth="1"/>
    <col min="26" max="26" width="13.42578125" style="33" customWidth="1"/>
    <col min="27" max="27" width="11.28515625" style="31" customWidth="1"/>
    <col min="28" max="28" width="46.28515625" style="72" customWidth="1" outlineLevel="1"/>
    <col min="29" max="29" width="25" style="17" customWidth="1" outlineLevel="1"/>
    <col min="30" max="30" width="26.140625" style="17" customWidth="1"/>
    <col min="31" max="32" width="8.7109375" style="1"/>
    <col min="33" max="16384" width="8.7109375" style="18"/>
  </cols>
  <sheetData>
    <row r="1" spans="1:32" ht="45" hidden="1" customHeight="1" x14ac:dyDescent="0.25">
      <c r="V1" s="154" t="s">
        <v>43</v>
      </c>
      <c r="W1" s="154"/>
      <c r="X1" s="154"/>
      <c r="Y1" s="154"/>
      <c r="Z1" s="154"/>
      <c r="AA1" s="154"/>
    </row>
    <row r="2" spans="1:32" ht="41.45" customHeigh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"/>
      <c r="S2" s="11"/>
      <c r="T2" s="115"/>
      <c r="U2" s="115"/>
      <c r="V2" s="158" t="s">
        <v>256</v>
      </c>
      <c r="W2" s="158"/>
      <c r="X2" s="158"/>
      <c r="Y2" s="158"/>
      <c r="Z2" s="158"/>
      <c r="AA2" s="158"/>
      <c r="AB2" s="77"/>
    </row>
    <row r="3" spans="1:32" ht="24" customHeight="1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1"/>
      <c r="S3" s="11"/>
      <c r="T3" s="131"/>
      <c r="U3" s="131"/>
      <c r="V3" s="132"/>
      <c r="W3" s="135"/>
      <c r="X3" s="135"/>
      <c r="Y3" s="132"/>
      <c r="Z3" s="132"/>
      <c r="AA3" s="132"/>
      <c r="AB3" s="77"/>
    </row>
    <row r="4" spans="1:32" ht="13.15" customHeight="1" x14ac:dyDescent="0.25">
      <c r="A4" s="157" t="s">
        <v>46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77"/>
    </row>
    <row r="5" spans="1:32" x14ac:dyDescent="0.25">
      <c r="A5" s="157" t="s">
        <v>42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77"/>
    </row>
    <row r="6" spans="1:32" ht="13.15" customHeight="1" x14ac:dyDescent="0.25">
      <c r="A6" s="157" t="s">
        <v>44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77"/>
    </row>
    <row r="7" spans="1:32" ht="13.15" customHeight="1" x14ac:dyDescent="0.25">
      <c r="A7" s="157" t="s">
        <v>41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</row>
    <row r="8" spans="1:32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53"/>
      <c r="S8" s="53"/>
      <c r="T8" s="105"/>
      <c r="U8" s="102"/>
      <c r="V8" s="119"/>
      <c r="W8" s="133"/>
      <c r="X8" s="133"/>
      <c r="Y8" s="117"/>
      <c r="Z8" s="53"/>
      <c r="AA8" s="53"/>
    </row>
    <row r="9" spans="1:32" x14ac:dyDescent="0.25">
      <c r="A9" s="156" t="s">
        <v>5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</row>
    <row r="10" spans="1:32" ht="16.149999999999999" customHeight="1" x14ac:dyDescent="0.25">
      <c r="A10" s="156" t="s">
        <v>44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</row>
    <row r="11" spans="1:32" ht="24" customHeight="1" x14ac:dyDescent="0.25">
      <c r="A11" s="155" t="s">
        <v>93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</row>
    <row r="12" spans="1:32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11"/>
      <c r="S12" s="11"/>
      <c r="T12" s="82"/>
      <c r="U12" s="106"/>
      <c r="Z12" s="26"/>
      <c r="AA12" s="27"/>
    </row>
    <row r="13" spans="1:32" s="19" customFormat="1" ht="33.6" customHeight="1" x14ac:dyDescent="0.25">
      <c r="A13" s="152" t="s">
        <v>9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 t="s">
        <v>6</v>
      </c>
      <c r="S13" s="152" t="s">
        <v>7</v>
      </c>
      <c r="T13" s="152" t="s">
        <v>36</v>
      </c>
      <c r="U13" s="152"/>
      <c r="V13" s="152"/>
      <c r="W13" s="152"/>
      <c r="X13" s="152"/>
      <c r="Y13" s="152"/>
      <c r="Z13" s="152" t="s">
        <v>3</v>
      </c>
      <c r="AA13" s="153"/>
      <c r="AB13" s="72"/>
      <c r="AC13" s="29"/>
      <c r="AD13" s="29"/>
      <c r="AE13" s="28"/>
      <c r="AF13" s="28"/>
    </row>
    <row r="14" spans="1:32" s="19" customFormat="1" ht="65.45" customHeight="1" x14ac:dyDescent="0.25">
      <c r="A14" s="152" t="s">
        <v>38</v>
      </c>
      <c r="B14" s="152"/>
      <c r="C14" s="152"/>
      <c r="D14" s="152" t="s">
        <v>0</v>
      </c>
      <c r="E14" s="152"/>
      <c r="F14" s="152" t="s">
        <v>13</v>
      </c>
      <c r="G14" s="152"/>
      <c r="H14" s="152" t="s">
        <v>14</v>
      </c>
      <c r="I14" s="152"/>
      <c r="J14" s="152"/>
      <c r="K14" s="152"/>
      <c r="L14" s="152"/>
      <c r="M14" s="152"/>
      <c r="N14" s="152"/>
      <c r="O14" s="152"/>
      <c r="P14" s="152"/>
      <c r="Q14" s="152"/>
      <c r="R14" s="153"/>
      <c r="S14" s="153"/>
      <c r="T14" s="103">
        <v>2021</v>
      </c>
      <c r="U14" s="113">
        <v>2022</v>
      </c>
      <c r="V14" s="120">
        <v>2023</v>
      </c>
      <c r="W14" s="134">
        <v>2024</v>
      </c>
      <c r="X14" s="134">
        <v>2025</v>
      </c>
      <c r="Y14" s="118">
        <v>2026</v>
      </c>
      <c r="Z14" s="55" t="s">
        <v>4</v>
      </c>
      <c r="AA14" s="55" t="s">
        <v>32</v>
      </c>
      <c r="AB14" s="72"/>
      <c r="AC14" s="29"/>
      <c r="AD14" s="29"/>
      <c r="AE14" s="28"/>
      <c r="AF14" s="28"/>
    </row>
    <row r="15" spans="1:32" s="71" customFormat="1" x14ac:dyDescent="0.25">
      <c r="A15" s="68">
        <v>1</v>
      </c>
      <c r="B15" s="68">
        <v>2</v>
      </c>
      <c r="C15" s="68">
        <v>3</v>
      </c>
      <c r="D15" s="68">
        <v>4</v>
      </c>
      <c r="E15" s="68">
        <v>5</v>
      </c>
      <c r="F15" s="68">
        <v>6</v>
      </c>
      <c r="G15" s="68">
        <v>7</v>
      </c>
      <c r="H15" s="68">
        <v>8</v>
      </c>
      <c r="I15" s="68">
        <v>9</v>
      </c>
      <c r="J15" s="68">
        <v>10</v>
      </c>
      <c r="K15" s="68">
        <v>11</v>
      </c>
      <c r="L15" s="68">
        <v>12</v>
      </c>
      <c r="M15" s="68">
        <v>13</v>
      </c>
      <c r="N15" s="68">
        <v>14</v>
      </c>
      <c r="O15" s="68">
        <v>15</v>
      </c>
      <c r="P15" s="68">
        <v>16</v>
      </c>
      <c r="Q15" s="68">
        <v>17</v>
      </c>
      <c r="R15" s="68">
        <v>18</v>
      </c>
      <c r="S15" s="68">
        <v>19</v>
      </c>
      <c r="T15" s="68">
        <v>20</v>
      </c>
      <c r="U15" s="68">
        <v>21</v>
      </c>
      <c r="V15" s="68">
        <v>22</v>
      </c>
      <c r="W15" s="68">
        <v>23</v>
      </c>
      <c r="X15" s="68">
        <v>24</v>
      </c>
      <c r="Y15" s="68">
        <v>25</v>
      </c>
      <c r="Z15" s="68">
        <v>26</v>
      </c>
      <c r="AA15" s="68">
        <v>27</v>
      </c>
      <c r="AB15" s="72"/>
      <c r="AC15" s="69"/>
      <c r="AD15" s="69"/>
      <c r="AE15" s="70"/>
      <c r="AF15" s="70"/>
    </row>
    <row r="16" spans="1:32" s="1" customFormat="1" ht="34.15" customHeight="1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7" t="s">
        <v>26</v>
      </c>
      <c r="S16" s="48" t="s">
        <v>33</v>
      </c>
      <c r="T16" s="49">
        <f t="shared" ref="T16:Z16" si="0">T24+T377</f>
        <v>2416571.8999999994</v>
      </c>
      <c r="U16" s="49">
        <f t="shared" si="0"/>
        <v>2005674.5</v>
      </c>
      <c r="V16" s="49">
        <f t="shared" si="0"/>
        <v>2172727.8000000003</v>
      </c>
      <c r="W16" s="49">
        <f t="shared" si="0"/>
        <v>2145276.7999999998</v>
      </c>
      <c r="X16" s="49">
        <f t="shared" si="0"/>
        <v>943141.9</v>
      </c>
      <c r="Y16" s="49">
        <f t="shared" si="0"/>
        <v>1033028.6000000001</v>
      </c>
      <c r="Z16" s="49">
        <f t="shared" si="0"/>
        <v>10716421.5</v>
      </c>
      <c r="AA16" s="48">
        <v>2026</v>
      </c>
      <c r="AB16" s="72"/>
      <c r="AC16" s="17"/>
      <c r="AD16" s="17"/>
    </row>
    <row r="17" spans="1:32" s="10" customFormat="1" ht="42.6" customHeight="1" x14ac:dyDescent="0.25">
      <c r="A17" s="14"/>
      <c r="B17" s="14"/>
      <c r="C17" s="14"/>
      <c r="D17" s="14"/>
      <c r="E17" s="14"/>
      <c r="F17" s="14"/>
      <c r="G17" s="14"/>
      <c r="H17" s="13"/>
      <c r="I17" s="14"/>
      <c r="J17" s="14"/>
      <c r="K17" s="14"/>
      <c r="L17" s="14"/>
      <c r="M17" s="14"/>
      <c r="N17" s="14"/>
      <c r="O17" s="14"/>
      <c r="P17" s="14"/>
      <c r="Q17" s="14"/>
      <c r="R17" s="12" t="s">
        <v>74</v>
      </c>
      <c r="S17" s="6"/>
      <c r="T17" s="5"/>
      <c r="U17" s="107"/>
      <c r="V17" s="121"/>
      <c r="W17" s="3"/>
      <c r="X17" s="3"/>
      <c r="Y17" s="3"/>
      <c r="Z17" s="3"/>
      <c r="AA17" s="6"/>
      <c r="AB17" s="72"/>
      <c r="AC17" s="17"/>
      <c r="AD17" s="17"/>
      <c r="AE17" s="1"/>
      <c r="AF17" s="1"/>
    </row>
    <row r="18" spans="1:32" s="10" customFormat="1" ht="54" customHeight="1" x14ac:dyDescent="0.25">
      <c r="A18" s="14"/>
      <c r="B18" s="14"/>
      <c r="C18" s="14"/>
      <c r="D18" s="14"/>
      <c r="E18" s="14"/>
      <c r="F18" s="14"/>
      <c r="G18" s="14"/>
      <c r="H18" s="13"/>
      <c r="I18" s="14"/>
      <c r="J18" s="14"/>
      <c r="K18" s="14"/>
      <c r="L18" s="14"/>
      <c r="M18" s="14"/>
      <c r="N18" s="14"/>
      <c r="O18" s="14"/>
      <c r="P18" s="14"/>
      <c r="Q18" s="14"/>
      <c r="R18" s="7" t="s">
        <v>75</v>
      </c>
      <c r="S18" s="6" t="s">
        <v>1</v>
      </c>
      <c r="T18" s="5">
        <v>67.3</v>
      </c>
      <c r="U18" s="5">
        <v>79.599999999999994</v>
      </c>
      <c r="V18" s="5">
        <v>80.900000000000006</v>
      </c>
      <c r="W18" s="5">
        <v>85</v>
      </c>
      <c r="X18" s="5">
        <v>85</v>
      </c>
      <c r="Y18" s="5">
        <v>85</v>
      </c>
      <c r="Z18" s="3">
        <f>Y18</f>
        <v>85</v>
      </c>
      <c r="AA18" s="6">
        <v>2026</v>
      </c>
      <c r="AB18" s="72"/>
      <c r="AC18" s="17"/>
      <c r="AD18" s="17"/>
      <c r="AE18" s="1"/>
      <c r="AF18" s="1"/>
    </row>
    <row r="19" spans="1:32" s="10" customFormat="1" ht="45" x14ac:dyDescent="0.25">
      <c r="A19" s="14"/>
      <c r="B19" s="14"/>
      <c r="C19" s="14"/>
      <c r="D19" s="14"/>
      <c r="E19" s="14"/>
      <c r="F19" s="14"/>
      <c r="G19" s="14"/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7" t="s">
        <v>76</v>
      </c>
      <c r="S19" s="6" t="s">
        <v>34</v>
      </c>
      <c r="T19" s="5">
        <f>T27</f>
        <v>11.4</v>
      </c>
      <c r="U19" s="5">
        <f>U27</f>
        <v>11.4</v>
      </c>
      <c r="V19" s="5"/>
      <c r="W19" s="5"/>
      <c r="X19" s="5"/>
      <c r="Y19" s="5"/>
      <c r="Z19" s="3">
        <v>11.4</v>
      </c>
      <c r="AA19" s="6">
        <v>2022</v>
      </c>
      <c r="AB19" s="72"/>
      <c r="AC19" s="17"/>
      <c r="AD19" s="17"/>
      <c r="AE19" s="1"/>
      <c r="AF19" s="1"/>
    </row>
    <row r="20" spans="1:32" s="10" customFormat="1" ht="30" x14ac:dyDescent="0.25">
      <c r="A20" s="14"/>
      <c r="B20" s="14"/>
      <c r="C20" s="14"/>
      <c r="D20" s="14"/>
      <c r="E20" s="14"/>
      <c r="F20" s="14"/>
      <c r="G20" s="14"/>
      <c r="H20" s="13"/>
      <c r="I20" s="14"/>
      <c r="J20" s="14"/>
      <c r="K20" s="14"/>
      <c r="L20" s="14"/>
      <c r="M20" s="14"/>
      <c r="N20" s="14"/>
      <c r="O20" s="14"/>
      <c r="P20" s="14"/>
      <c r="Q20" s="14"/>
      <c r="R20" s="7" t="s">
        <v>77</v>
      </c>
      <c r="S20" s="6" t="s">
        <v>34</v>
      </c>
      <c r="T20" s="5">
        <v>13.4</v>
      </c>
      <c r="U20" s="5">
        <f>U67+U68</f>
        <v>15.555999999999999</v>
      </c>
      <c r="V20" s="60">
        <f t="shared" ref="V20:Y20" si="1">V67+V68</f>
        <v>13.805</v>
      </c>
      <c r="W20" s="60">
        <f t="shared" si="1"/>
        <v>61.027000000000001</v>
      </c>
      <c r="X20" s="60">
        <f t="shared" si="1"/>
        <v>28.348000000000003</v>
      </c>
      <c r="Y20" s="60">
        <f t="shared" si="1"/>
        <v>32.424999999999997</v>
      </c>
      <c r="Z20" s="61">
        <v>178.03700000000001</v>
      </c>
      <c r="AA20" s="6">
        <v>2026</v>
      </c>
      <c r="AB20" s="128" t="s">
        <v>242</v>
      </c>
      <c r="AC20" s="17"/>
      <c r="AD20" s="17"/>
      <c r="AE20" s="1"/>
      <c r="AF20" s="1"/>
    </row>
    <row r="21" spans="1:32" s="10" customFormat="1" ht="31.5" customHeight="1" x14ac:dyDescent="0.25">
      <c r="A21" s="14"/>
      <c r="B21" s="14"/>
      <c r="C21" s="14"/>
      <c r="D21" s="14"/>
      <c r="E21" s="14"/>
      <c r="F21" s="14"/>
      <c r="G21" s="14"/>
      <c r="H21" s="13"/>
      <c r="I21" s="14"/>
      <c r="J21" s="14"/>
      <c r="K21" s="14"/>
      <c r="L21" s="14"/>
      <c r="M21" s="14"/>
      <c r="N21" s="14"/>
      <c r="O21" s="14"/>
      <c r="P21" s="14"/>
      <c r="Q21" s="14"/>
      <c r="R21" s="7" t="s">
        <v>78</v>
      </c>
      <c r="S21" s="6" t="s">
        <v>34</v>
      </c>
      <c r="T21" s="5">
        <f t="shared" ref="T21:Y21" si="2">T320</f>
        <v>7130.4</v>
      </c>
      <c r="U21" s="5">
        <f t="shared" si="2"/>
        <v>7130.4</v>
      </c>
      <c r="V21" s="5">
        <f t="shared" si="2"/>
        <v>7182.5</v>
      </c>
      <c r="W21" s="5">
        <f t="shared" si="2"/>
        <v>7182.5</v>
      </c>
      <c r="X21" s="5">
        <f t="shared" si="2"/>
        <v>7182.5</v>
      </c>
      <c r="Y21" s="5">
        <f t="shared" si="2"/>
        <v>7182.5</v>
      </c>
      <c r="Z21" s="3">
        <f>Y21</f>
        <v>7182.5</v>
      </c>
      <c r="AA21" s="6">
        <v>2026</v>
      </c>
      <c r="AB21" s="72"/>
      <c r="AC21" s="17"/>
      <c r="AD21" s="17"/>
      <c r="AE21" s="1"/>
      <c r="AF21" s="1"/>
    </row>
    <row r="22" spans="1:32" s="10" customFormat="1" ht="63" hidden="1" customHeight="1" x14ac:dyDescent="0.25">
      <c r="A22" s="14"/>
      <c r="B22" s="14"/>
      <c r="C22" s="14"/>
      <c r="D22" s="14"/>
      <c r="E22" s="14"/>
      <c r="F22" s="14"/>
      <c r="G22" s="14"/>
      <c r="H22" s="13"/>
      <c r="I22" s="14"/>
      <c r="J22" s="14"/>
      <c r="K22" s="14"/>
      <c r="L22" s="14"/>
      <c r="M22" s="14"/>
      <c r="N22" s="14"/>
      <c r="O22" s="14"/>
      <c r="P22" s="14"/>
      <c r="Q22" s="14"/>
      <c r="R22" s="7" t="s">
        <v>79</v>
      </c>
      <c r="S22" s="6" t="s">
        <v>34</v>
      </c>
      <c r="T22" s="5" t="e">
        <f>#REF!</f>
        <v>#REF!</v>
      </c>
      <c r="U22" s="107" t="e">
        <f>#REF!</f>
        <v>#REF!</v>
      </c>
      <c r="V22" s="107" t="e">
        <f>#REF!</f>
        <v>#REF!</v>
      </c>
      <c r="W22" s="107"/>
      <c r="X22" s="5"/>
      <c r="Y22" s="5"/>
      <c r="Z22" s="3" t="e">
        <f>T22+U22+V22+W22+X22+Y22</f>
        <v>#REF!</v>
      </c>
      <c r="AA22" s="6">
        <v>2026</v>
      </c>
      <c r="AB22" s="72"/>
      <c r="AC22" s="17"/>
      <c r="AD22" s="17"/>
      <c r="AE22" s="1"/>
      <c r="AF22" s="1"/>
    </row>
    <row r="23" spans="1:32" s="10" customFormat="1" ht="30" hidden="1" x14ac:dyDescent="0.25">
      <c r="A23" s="14"/>
      <c r="B23" s="14"/>
      <c r="C23" s="14"/>
      <c r="D23" s="14"/>
      <c r="E23" s="14"/>
      <c r="F23" s="14"/>
      <c r="G23" s="14"/>
      <c r="H23" s="13"/>
      <c r="I23" s="14"/>
      <c r="J23" s="14"/>
      <c r="K23" s="14"/>
      <c r="L23" s="14"/>
      <c r="M23" s="14"/>
      <c r="N23" s="14"/>
      <c r="O23" s="14"/>
      <c r="P23" s="14"/>
      <c r="Q23" s="14"/>
      <c r="R23" s="7" t="s">
        <v>80</v>
      </c>
      <c r="S23" s="6" t="s">
        <v>35</v>
      </c>
      <c r="T23" s="5">
        <f t="shared" ref="T23:Y23" si="3">T386</f>
        <v>848</v>
      </c>
      <c r="U23" s="107">
        <f t="shared" si="3"/>
        <v>864</v>
      </c>
      <c r="V23" s="107">
        <f t="shared" si="3"/>
        <v>0</v>
      </c>
      <c r="W23" s="107">
        <f t="shared" si="3"/>
        <v>0</v>
      </c>
      <c r="X23" s="5">
        <f t="shared" si="3"/>
        <v>0</v>
      </c>
      <c r="Y23" s="5">
        <f t="shared" si="3"/>
        <v>0</v>
      </c>
      <c r="Z23" s="3">
        <f>T23+U23+V23+W23+X23+Y23</f>
        <v>1712</v>
      </c>
      <c r="AA23" s="6">
        <v>2026</v>
      </c>
      <c r="AB23" s="72"/>
      <c r="AC23" s="17"/>
      <c r="AD23" s="17"/>
      <c r="AE23" s="1"/>
      <c r="AF23" s="1"/>
    </row>
    <row r="24" spans="1:32" ht="36.6" customHeight="1" x14ac:dyDescent="0.25">
      <c r="A24" s="34"/>
      <c r="B24" s="34"/>
      <c r="C24" s="34"/>
      <c r="D24" s="34" t="s">
        <v>10</v>
      </c>
      <c r="E24" s="34" t="s">
        <v>20</v>
      </c>
      <c r="F24" s="34" t="s">
        <v>10</v>
      </c>
      <c r="G24" s="34" t="s">
        <v>19</v>
      </c>
      <c r="H24" s="34" t="s">
        <v>10</v>
      </c>
      <c r="I24" s="34" t="s">
        <v>18</v>
      </c>
      <c r="J24" s="34" t="s">
        <v>11</v>
      </c>
      <c r="K24" s="34" t="s">
        <v>10</v>
      </c>
      <c r="L24" s="34" t="s">
        <v>10</v>
      </c>
      <c r="M24" s="34" t="s">
        <v>10</v>
      </c>
      <c r="N24" s="34" t="s">
        <v>10</v>
      </c>
      <c r="O24" s="34" t="s">
        <v>10</v>
      </c>
      <c r="P24" s="34" t="s">
        <v>10</v>
      </c>
      <c r="Q24" s="34" t="s">
        <v>10</v>
      </c>
      <c r="R24" s="35" t="s">
        <v>81</v>
      </c>
      <c r="S24" s="36" t="s">
        <v>33</v>
      </c>
      <c r="T24" s="37">
        <f t="shared" ref="T24:Y24" si="4">T25+T66+T319</f>
        <v>2416571.8999999994</v>
      </c>
      <c r="U24" s="37">
        <f t="shared" si="4"/>
        <v>2005674.5</v>
      </c>
      <c r="V24" s="37">
        <f t="shared" si="4"/>
        <v>2172727.8000000003</v>
      </c>
      <c r="W24" s="37">
        <f t="shared" si="4"/>
        <v>2145276.7999999998</v>
      </c>
      <c r="X24" s="37">
        <f t="shared" si="4"/>
        <v>943141.9</v>
      </c>
      <c r="Y24" s="37">
        <f t="shared" si="4"/>
        <v>1033028.6000000001</v>
      </c>
      <c r="Z24" s="37">
        <f>T24+U24+V24+W24+X24+Y24</f>
        <v>10716421.5</v>
      </c>
      <c r="AA24" s="36">
        <v>2026</v>
      </c>
      <c r="AB24" s="73"/>
      <c r="AC24" s="29"/>
    </row>
    <row r="25" spans="1:32" s="20" customFormat="1" ht="49.9" customHeight="1" x14ac:dyDescent="0.25">
      <c r="A25" s="39"/>
      <c r="B25" s="39"/>
      <c r="C25" s="39"/>
      <c r="D25" s="39" t="s">
        <v>10</v>
      </c>
      <c r="E25" s="39" t="s">
        <v>20</v>
      </c>
      <c r="F25" s="39" t="s">
        <v>10</v>
      </c>
      <c r="G25" s="39" t="s">
        <v>19</v>
      </c>
      <c r="H25" s="39" t="s">
        <v>10</v>
      </c>
      <c r="I25" s="39" t="s">
        <v>18</v>
      </c>
      <c r="J25" s="39" t="s">
        <v>11</v>
      </c>
      <c r="K25" s="39" t="s">
        <v>10</v>
      </c>
      <c r="L25" s="39" t="s">
        <v>11</v>
      </c>
      <c r="M25" s="39" t="s">
        <v>10</v>
      </c>
      <c r="N25" s="39" t="s">
        <v>10</v>
      </c>
      <c r="O25" s="39" t="s">
        <v>10</v>
      </c>
      <c r="P25" s="39" t="s">
        <v>10</v>
      </c>
      <c r="Q25" s="39" t="s">
        <v>10</v>
      </c>
      <c r="R25" s="40" t="s">
        <v>25</v>
      </c>
      <c r="S25" s="41" t="s">
        <v>33</v>
      </c>
      <c r="T25" s="42">
        <f>T30+T32+T39+T41+T46+T49+T54+T58+T60+T62+T64</f>
        <v>150316.1</v>
      </c>
      <c r="U25" s="42">
        <f t="shared" ref="U25:Z25" si="5">U30+U32+U39+U41+U46+U49+U54+U58+U60+U62+U64</f>
        <v>157246.9</v>
      </c>
      <c r="V25" s="42">
        <f t="shared" si="5"/>
        <v>34440.199999999997</v>
      </c>
      <c r="W25" s="42">
        <f t="shared" si="5"/>
        <v>4069</v>
      </c>
      <c r="X25" s="42">
        <f t="shared" si="5"/>
        <v>6676.4</v>
      </c>
      <c r="Y25" s="42">
        <f t="shared" si="5"/>
        <v>5664.9</v>
      </c>
      <c r="Z25" s="42">
        <f t="shared" si="5"/>
        <v>358413.5</v>
      </c>
      <c r="AA25" s="41">
        <v>2026</v>
      </c>
      <c r="AB25" s="74"/>
      <c r="AC25" s="66"/>
      <c r="AD25" s="15"/>
      <c r="AE25" s="16"/>
      <c r="AF25" s="16"/>
    </row>
    <row r="26" spans="1:32" s="2" customFormat="1" ht="29.25" x14ac:dyDescent="0.25">
      <c r="A26" s="13"/>
      <c r="B26" s="13"/>
      <c r="C26" s="13"/>
      <c r="D26" s="13"/>
      <c r="E26" s="13"/>
      <c r="F26" s="13"/>
      <c r="G26" s="13"/>
      <c r="H26" s="13"/>
      <c r="I26" s="14"/>
      <c r="J26" s="13"/>
      <c r="K26" s="13"/>
      <c r="L26" s="13"/>
      <c r="M26" s="13"/>
      <c r="N26" s="13"/>
      <c r="O26" s="13"/>
      <c r="P26" s="13"/>
      <c r="Q26" s="13"/>
      <c r="R26" s="12" t="s">
        <v>51</v>
      </c>
      <c r="S26" s="6" t="s">
        <v>2</v>
      </c>
      <c r="T26" s="5">
        <f>T36</f>
        <v>0.6</v>
      </c>
      <c r="U26" s="5">
        <f>U36+U45</f>
        <v>1.159</v>
      </c>
      <c r="V26" s="5"/>
      <c r="W26" s="5"/>
      <c r="X26" s="5"/>
      <c r="Y26" s="107"/>
      <c r="Z26" s="3">
        <f>T26+U26+V26+W26+X26+Y26</f>
        <v>1.7589999999999999</v>
      </c>
      <c r="AA26" s="6">
        <v>2022</v>
      </c>
      <c r="AB26" s="74"/>
      <c r="AC26" s="62"/>
      <c r="AD26" s="15"/>
      <c r="AE26" s="16"/>
      <c r="AF26" s="16"/>
    </row>
    <row r="27" spans="1:32" s="2" customFormat="1" ht="30" x14ac:dyDescent="0.25">
      <c r="A27" s="13"/>
      <c r="B27" s="13"/>
      <c r="C27" s="13"/>
      <c r="D27" s="13"/>
      <c r="E27" s="13"/>
      <c r="F27" s="13"/>
      <c r="G27" s="13"/>
      <c r="H27" s="13"/>
      <c r="I27" s="14"/>
      <c r="J27" s="13"/>
      <c r="K27" s="13"/>
      <c r="L27" s="13"/>
      <c r="M27" s="13"/>
      <c r="N27" s="13"/>
      <c r="O27" s="13"/>
      <c r="P27" s="13"/>
      <c r="Q27" s="13"/>
      <c r="R27" s="12" t="s">
        <v>52</v>
      </c>
      <c r="S27" s="6" t="s">
        <v>34</v>
      </c>
      <c r="T27" s="5">
        <f>T37</f>
        <v>11.4</v>
      </c>
      <c r="U27" s="5">
        <f>U37</f>
        <v>11.4</v>
      </c>
      <c r="V27" s="5"/>
      <c r="W27" s="5"/>
      <c r="X27" s="5"/>
      <c r="Y27" s="107"/>
      <c r="Z27" s="3">
        <f>Z37</f>
        <v>11.4</v>
      </c>
      <c r="AA27" s="6">
        <v>2022</v>
      </c>
      <c r="AB27" s="74"/>
      <c r="AC27" s="62"/>
      <c r="AD27" s="15"/>
      <c r="AE27" s="16"/>
      <c r="AF27" s="16"/>
    </row>
    <row r="28" spans="1:32" s="2" customFormat="1" ht="44.25" x14ac:dyDescent="0.25">
      <c r="A28" s="13"/>
      <c r="B28" s="13"/>
      <c r="C28" s="13"/>
      <c r="D28" s="13"/>
      <c r="E28" s="13"/>
      <c r="F28" s="13"/>
      <c r="G28" s="13"/>
      <c r="H28" s="13"/>
      <c r="I28" s="14"/>
      <c r="J28" s="13"/>
      <c r="K28" s="13"/>
      <c r="L28" s="13"/>
      <c r="M28" s="13"/>
      <c r="N28" s="13"/>
      <c r="O28" s="13"/>
      <c r="P28" s="13"/>
      <c r="Q28" s="13"/>
      <c r="R28" s="12" t="s">
        <v>53</v>
      </c>
      <c r="S28" s="6" t="s">
        <v>2</v>
      </c>
      <c r="T28" s="5">
        <f>T31</f>
        <v>0.3</v>
      </c>
      <c r="U28" s="107"/>
      <c r="V28" s="5"/>
      <c r="W28" s="5"/>
      <c r="X28" s="5"/>
      <c r="Y28" s="107"/>
      <c r="Z28" s="3">
        <f>T28+U28+V28+W28+X28+Y28</f>
        <v>0.3</v>
      </c>
      <c r="AA28" s="6">
        <v>2021</v>
      </c>
      <c r="AB28" s="75"/>
      <c r="AC28" s="15"/>
      <c r="AD28" s="15"/>
      <c r="AE28" s="16"/>
      <c r="AF28" s="16"/>
    </row>
    <row r="29" spans="1:32" s="2" customFormat="1" ht="44.25" x14ac:dyDescent="0.25">
      <c r="A29" s="13"/>
      <c r="B29" s="13"/>
      <c r="C29" s="13"/>
      <c r="D29" s="13"/>
      <c r="E29" s="13"/>
      <c r="F29" s="13"/>
      <c r="G29" s="13"/>
      <c r="H29" s="13"/>
      <c r="I29" s="14"/>
      <c r="J29" s="13"/>
      <c r="K29" s="13"/>
      <c r="L29" s="13"/>
      <c r="M29" s="13"/>
      <c r="N29" s="13"/>
      <c r="O29" s="13"/>
      <c r="P29" s="13"/>
      <c r="Q29" s="13"/>
      <c r="R29" s="12" t="s">
        <v>101</v>
      </c>
      <c r="S29" s="6" t="s">
        <v>30</v>
      </c>
      <c r="T29" s="9"/>
      <c r="U29" s="9">
        <f>U48</f>
        <v>2</v>
      </c>
      <c r="V29" s="9">
        <f t="shared" ref="V29:Y29" si="6">V48</f>
        <v>3</v>
      </c>
      <c r="W29" s="9">
        <f t="shared" si="6"/>
        <v>7</v>
      </c>
      <c r="X29" s="9">
        <f t="shared" si="6"/>
        <v>10</v>
      </c>
      <c r="Y29" s="9">
        <f t="shared" si="6"/>
        <v>12</v>
      </c>
      <c r="Z29" s="4">
        <f>T29+U29+V29+W29+X29+Y29</f>
        <v>34</v>
      </c>
      <c r="AA29" s="6">
        <v>2026</v>
      </c>
      <c r="AB29" s="86"/>
      <c r="AC29" s="15"/>
      <c r="AD29" s="15"/>
      <c r="AE29" s="16"/>
      <c r="AF29" s="16"/>
    </row>
    <row r="30" spans="1:32" s="2" customFormat="1" ht="30" x14ac:dyDescent="0.25">
      <c r="A30" s="21" t="s">
        <v>10</v>
      </c>
      <c r="B30" s="21" t="s">
        <v>11</v>
      </c>
      <c r="C30" s="21" t="s">
        <v>12</v>
      </c>
      <c r="D30" s="21" t="s">
        <v>10</v>
      </c>
      <c r="E30" s="21" t="s">
        <v>20</v>
      </c>
      <c r="F30" s="21" t="s">
        <v>10</v>
      </c>
      <c r="G30" s="21" t="s">
        <v>19</v>
      </c>
      <c r="H30" s="21" t="s">
        <v>10</v>
      </c>
      <c r="I30" s="21" t="s">
        <v>18</v>
      </c>
      <c r="J30" s="21" t="s">
        <v>11</v>
      </c>
      <c r="K30" s="21" t="s">
        <v>10</v>
      </c>
      <c r="L30" s="21" t="s">
        <v>11</v>
      </c>
      <c r="M30" s="21" t="s">
        <v>10</v>
      </c>
      <c r="N30" s="21" t="s">
        <v>10</v>
      </c>
      <c r="O30" s="21" t="s">
        <v>10</v>
      </c>
      <c r="P30" s="21" t="s">
        <v>10</v>
      </c>
      <c r="Q30" s="21" t="s">
        <v>22</v>
      </c>
      <c r="R30" s="22" t="s">
        <v>48</v>
      </c>
      <c r="S30" s="23" t="s">
        <v>33</v>
      </c>
      <c r="T30" s="25">
        <f>18000-5624.5</f>
        <v>12375.5</v>
      </c>
      <c r="U30" s="59"/>
      <c r="V30" s="59"/>
      <c r="W30" s="59"/>
      <c r="X30" s="59"/>
      <c r="Y30" s="59"/>
      <c r="Z30" s="25">
        <f>T30+U30+V30+W30+X30+Y30</f>
        <v>12375.5</v>
      </c>
      <c r="AA30" s="23">
        <v>2021</v>
      </c>
      <c r="AB30" s="72"/>
      <c r="AC30" s="17"/>
      <c r="AD30" s="15"/>
      <c r="AE30" s="16"/>
      <c r="AF30" s="16"/>
    </row>
    <row r="31" spans="1:32" s="16" customFormat="1" ht="29.25" x14ac:dyDescent="0.25">
      <c r="A31" s="13"/>
      <c r="B31" s="13"/>
      <c r="C31" s="13"/>
      <c r="D31" s="13"/>
      <c r="E31" s="13"/>
      <c r="F31" s="13"/>
      <c r="G31" s="13"/>
      <c r="H31" s="13"/>
      <c r="I31" s="14"/>
      <c r="J31" s="13"/>
      <c r="K31" s="13"/>
      <c r="L31" s="13"/>
      <c r="M31" s="13"/>
      <c r="N31" s="13"/>
      <c r="O31" s="13"/>
      <c r="P31" s="13"/>
      <c r="Q31" s="13"/>
      <c r="R31" s="12" t="s">
        <v>49</v>
      </c>
      <c r="S31" s="6" t="s">
        <v>2</v>
      </c>
      <c r="T31" s="5">
        <v>0.3</v>
      </c>
      <c r="U31" s="107"/>
      <c r="V31" s="107"/>
      <c r="W31" s="107"/>
      <c r="X31" s="107"/>
      <c r="Y31" s="107"/>
      <c r="Z31" s="3">
        <f>T31</f>
        <v>0.3</v>
      </c>
      <c r="AA31" s="6">
        <v>2021</v>
      </c>
      <c r="AB31" s="72"/>
      <c r="AC31" s="15"/>
      <c r="AD31" s="15"/>
    </row>
    <row r="32" spans="1:32" s="16" customFormat="1" ht="19.5" customHeight="1" x14ac:dyDescent="0.25">
      <c r="A32" s="21" t="s">
        <v>10</v>
      </c>
      <c r="B32" s="21" t="s">
        <v>11</v>
      </c>
      <c r="C32" s="21" t="s">
        <v>12</v>
      </c>
      <c r="D32" s="21" t="s">
        <v>10</v>
      </c>
      <c r="E32" s="21" t="s">
        <v>20</v>
      </c>
      <c r="F32" s="21" t="s">
        <v>10</v>
      </c>
      <c r="G32" s="21" t="s">
        <v>19</v>
      </c>
      <c r="H32" s="21" t="s">
        <v>10</v>
      </c>
      <c r="I32" s="21" t="s">
        <v>18</v>
      </c>
      <c r="J32" s="21" t="s">
        <v>11</v>
      </c>
      <c r="K32" s="21" t="s">
        <v>10</v>
      </c>
      <c r="L32" s="21" t="s">
        <v>11</v>
      </c>
      <c r="M32" s="21" t="s">
        <v>10</v>
      </c>
      <c r="N32" s="21" t="s">
        <v>10</v>
      </c>
      <c r="O32" s="21" t="s">
        <v>10</v>
      </c>
      <c r="P32" s="21" t="s">
        <v>10</v>
      </c>
      <c r="Q32" s="21" t="s">
        <v>10</v>
      </c>
      <c r="R32" s="148" t="s">
        <v>99</v>
      </c>
      <c r="S32" s="144" t="s">
        <v>33</v>
      </c>
      <c r="T32" s="25">
        <f>T34+T35+T33</f>
        <v>114895.09999999999</v>
      </c>
      <c r="U32" s="25">
        <f>U34+U35+U33</f>
        <v>34339.9</v>
      </c>
      <c r="V32" s="59"/>
      <c r="W32" s="59"/>
      <c r="X32" s="59"/>
      <c r="Y32" s="59"/>
      <c r="Z32" s="25">
        <f t="shared" ref="Z32:Z35" si="7">SUM(T32:Y32)</f>
        <v>149235</v>
      </c>
      <c r="AA32" s="23">
        <v>2022</v>
      </c>
      <c r="AB32" s="75"/>
      <c r="AC32" s="30"/>
      <c r="AD32" s="15"/>
    </row>
    <row r="33" spans="1:31" s="16" customFormat="1" ht="19.5" customHeight="1" x14ac:dyDescent="0.25">
      <c r="A33" s="21" t="s">
        <v>10</v>
      </c>
      <c r="B33" s="21" t="s">
        <v>11</v>
      </c>
      <c r="C33" s="21" t="s">
        <v>12</v>
      </c>
      <c r="D33" s="21" t="s">
        <v>10</v>
      </c>
      <c r="E33" s="21" t="s">
        <v>20</v>
      </c>
      <c r="F33" s="21" t="s">
        <v>10</v>
      </c>
      <c r="G33" s="21" t="s">
        <v>19</v>
      </c>
      <c r="H33" s="21" t="s">
        <v>10</v>
      </c>
      <c r="I33" s="21" t="s">
        <v>18</v>
      </c>
      <c r="J33" s="21" t="s">
        <v>11</v>
      </c>
      <c r="K33" s="21" t="s">
        <v>10</v>
      </c>
      <c r="L33" s="21" t="s">
        <v>11</v>
      </c>
      <c r="M33" s="21" t="s">
        <v>10</v>
      </c>
      <c r="N33" s="21" t="s">
        <v>10</v>
      </c>
      <c r="O33" s="21" t="s">
        <v>18</v>
      </c>
      <c r="P33" s="21" t="s">
        <v>17</v>
      </c>
      <c r="Q33" s="21" t="s">
        <v>19</v>
      </c>
      <c r="R33" s="149"/>
      <c r="S33" s="145"/>
      <c r="T33" s="24">
        <f>828.1+330+110.4-330</f>
        <v>938.5</v>
      </c>
      <c r="U33" s="24">
        <f>420.5-30.5</f>
        <v>390</v>
      </c>
      <c r="V33" s="59"/>
      <c r="W33" s="59"/>
      <c r="X33" s="59"/>
      <c r="Y33" s="59"/>
      <c r="Z33" s="25">
        <f t="shared" si="7"/>
        <v>1328.5</v>
      </c>
      <c r="AA33" s="23">
        <v>2022</v>
      </c>
      <c r="AB33" s="75"/>
      <c r="AC33" s="30"/>
      <c r="AD33" s="15"/>
    </row>
    <row r="34" spans="1:31" s="16" customFormat="1" ht="19.5" customHeight="1" x14ac:dyDescent="0.25">
      <c r="A34" s="21" t="s">
        <v>10</v>
      </c>
      <c r="B34" s="21" t="s">
        <v>11</v>
      </c>
      <c r="C34" s="21" t="s">
        <v>12</v>
      </c>
      <c r="D34" s="21" t="s">
        <v>10</v>
      </c>
      <c r="E34" s="21" t="s">
        <v>20</v>
      </c>
      <c r="F34" s="21" t="s">
        <v>10</v>
      </c>
      <c r="G34" s="21" t="s">
        <v>19</v>
      </c>
      <c r="H34" s="21" t="s">
        <v>10</v>
      </c>
      <c r="I34" s="21" t="s">
        <v>18</v>
      </c>
      <c r="J34" s="21" t="s">
        <v>11</v>
      </c>
      <c r="K34" s="21" t="s">
        <v>10</v>
      </c>
      <c r="L34" s="21" t="s">
        <v>11</v>
      </c>
      <c r="M34" s="21" t="s">
        <v>40</v>
      </c>
      <c r="N34" s="21" t="s">
        <v>10</v>
      </c>
      <c r="O34" s="21" t="s">
        <v>18</v>
      </c>
      <c r="P34" s="21" t="s">
        <v>17</v>
      </c>
      <c r="Q34" s="21" t="s">
        <v>19</v>
      </c>
      <c r="R34" s="149"/>
      <c r="S34" s="145"/>
      <c r="T34" s="24">
        <f>3869.5+7526.2</f>
        <v>11395.7</v>
      </c>
      <c r="U34" s="24">
        <v>3395</v>
      </c>
      <c r="V34" s="56"/>
      <c r="W34" s="56"/>
      <c r="X34" s="56"/>
      <c r="Y34" s="56"/>
      <c r="Z34" s="25">
        <f t="shared" si="7"/>
        <v>14790.7</v>
      </c>
      <c r="AA34" s="23">
        <v>2022</v>
      </c>
      <c r="AB34" s="75"/>
      <c r="AC34" s="30"/>
      <c r="AD34" s="15"/>
    </row>
    <row r="35" spans="1:31" s="16" customFormat="1" ht="20.25" customHeight="1" x14ac:dyDescent="0.25">
      <c r="A35" s="21" t="s">
        <v>10</v>
      </c>
      <c r="B35" s="21" t="s">
        <v>11</v>
      </c>
      <c r="C35" s="21" t="s">
        <v>12</v>
      </c>
      <c r="D35" s="21" t="s">
        <v>10</v>
      </c>
      <c r="E35" s="21" t="s">
        <v>20</v>
      </c>
      <c r="F35" s="21" t="s">
        <v>10</v>
      </c>
      <c r="G35" s="21" t="s">
        <v>19</v>
      </c>
      <c r="H35" s="21" t="s">
        <v>10</v>
      </c>
      <c r="I35" s="21" t="s">
        <v>18</v>
      </c>
      <c r="J35" s="21" t="s">
        <v>11</v>
      </c>
      <c r="K35" s="21" t="s">
        <v>10</v>
      </c>
      <c r="L35" s="21" t="s">
        <v>11</v>
      </c>
      <c r="M35" s="21" t="s">
        <v>11</v>
      </c>
      <c r="N35" s="21" t="s">
        <v>10</v>
      </c>
      <c r="O35" s="21" t="s">
        <v>18</v>
      </c>
      <c r="P35" s="21" t="s">
        <v>17</v>
      </c>
      <c r="Q35" s="21" t="s">
        <v>19</v>
      </c>
      <c r="R35" s="150"/>
      <c r="S35" s="146"/>
      <c r="T35" s="24">
        <f>34825.4+67735.5</f>
        <v>102560.9</v>
      </c>
      <c r="U35" s="24">
        <v>30554.9</v>
      </c>
      <c r="V35" s="56"/>
      <c r="W35" s="56"/>
      <c r="X35" s="56"/>
      <c r="Y35" s="56"/>
      <c r="Z35" s="25">
        <f t="shared" si="7"/>
        <v>133115.79999999999</v>
      </c>
      <c r="AA35" s="23">
        <v>2022</v>
      </c>
      <c r="AB35" s="86"/>
      <c r="AC35" s="30"/>
      <c r="AD35" s="15"/>
    </row>
    <row r="36" spans="1:31" s="16" customFormat="1" ht="29.25" x14ac:dyDescent="0.25">
      <c r="A36" s="13"/>
      <c r="B36" s="13"/>
      <c r="C36" s="13"/>
      <c r="D36" s="13"/>
      <c r="E36" s="13"/>
      <c r="F36" s="13"/>
      <c r="G36" s="13"/>
      <c r="H36" s="13"/>
      <c r="I36" s="14"/>
      <c r="J36" s="13"/>
      <c r="K36" s="13"/>
      <c r="L36" s="13"/>
      <c r="M36" s="13"/>
      <c r="N36" s="13"/>
      <c r="O36" s="13"/>
      <c r="P36" s="13"/>
      <c r="Q36" s="13"/>
      <c r="R36" s="12" t="s">
        <v>143</v>
      </c>
      <c r="S36" s="85" t="s">
        <v>2</v>
      </c>
      <c r="T36" s="5">
        <v>0.6</v>
      </c>
      <c r="U36" s="60">
        <v>0.67900000000000005</v>
      </c>
      <c r="V36" s="109"/>
      <c r="W36" s="109"/>
      <c r="X36" s="109"/>
      <c r="Y36" s="109"/>
      <c r="Z36" s="61">
        <f>U36</f>
        <v>0.67900000000000005</v>
      </c>
      <c r="AA36" s="6">
        <v>2022</v>
      </c>
      <c r="AB36" s="75"/>
      <c r="AC36" s="30"/>
      <c r="AD36" s="15"/>
    </row>
    <row r="37" spans="1:31" s="16" customFormat="1" ht="30" x14ac:dyDescent="0.25">
      <c r="A37" s="13"/>
      <c r="B37" s="13"/>
      <c r="C37" s="13"/>
      <c r="D37" s="13"/>
      <c r="E37" s="13"/>
      <c r="F37" s="13"/>
      <c r="G37" s="13"/>
      <c r="H37" s="13"/>
      <c r="I37" s="14"/>
      <c r="J37" s="13"/>
      <c r="K37" s="13"/>
      <c r="L37" s="13"/>
      <c r="M37" s="13"/>
      <c r="N37" s="13"/>
      <c r="O37" s="13"/>
      <c r="P37" s="13"/>
      <c r="Q37" s="13"/>
      <c r="R37" s="12" t="s">
        <v>144</v>
      </c>
      <c r="S37" s="6" t="s">
        <v>34</v>
      </c>
      <c r="T37" s="5">
        <v>11.4</v>
      </c>
      <c r="U37" s="5">
        <v>11.4</v>
      </c>
      <c r="V37" s="108"/>
      <c r="W37" s="108"/>
      <c r="X37" s="108"/>
      <c r="Y37" s="108"/>
      <c r="Z37" s="3">
        <v>11.4</v>
      </c>
      <c r="AA37" s="8">
        <v>2022</v>
      </c>
      <c r="AB37" s="75"/>
      <c r="AC37" s="30"/>
      <c r="AD37" s="15"/>
    </row>
    <row r="38" spans="1:31" s="16" customFormat="1" ht="29.25" x14ac:dyDescent="0.25">
      <c r="A38" s="13"/>
      <c r="B38" s="13"/>
      <c r="C38" s="13"/>
      <c r="D38" s="13"/>
      <c r="E38" s="13"/>
      <c r="F38" s="13"/>
      <c r="G38" s="13"/>
      <c r="H38" s="13"/>
      <c r="I38" s="14"/>
      <c r="J38" s="13"/>
      <c r="K38" s="13"/>
      <c r="L38" s="13"/>
      <c r="M38" s="13"/>
      <c r="N38" s="13"/>
      <c r="O38" s="13"/>
      <c r="P38" s="13"/>
      <c r="Q38" s="13"/>
      <c r="R38" s="12" t="s">
        <v>142</v>
      </c>
      <c r="S38" s="6" t="s">
        <v>1</v>
      </c>
      <c r="T38" s="5">
        <v>100</v>
      </c>
      <c r="U38" s="5">
        <v>100</v>
      </c>
      <c r="V38" s="108"/>
      <c r="W38" s="108"/>
      <c r="X38" s="108"/>
      <c r="Y38" s="108"/>
      <c r="Z38" s="3">
        <v>100</v>
      </c>
      <c r="AA38" s="8">
        <v>2022</v>
      </c>
      <c r="AB38" s="99"/>
      <c r="AC38" s="30"/>
      <c r="AD38" s="15"/>
    </row>
    <row r="39" spans="1:31" s="16" customFormat="1" ht="30" x14ac:dyDescent="0.25">
      <c r="A39" s="21" t="s">
        <v>10</v>
      </c>
      <c r="B39" s="21" t="s">
        <v>11</v>
      </c>
      <c r="C39" s="21" t="s">
        <v>12</v>
      </c>
      <c r="D39" s="21" t="s">
        <v>10</v>
      </c>
      <c r="E39" s="21" t="s">
        <v>20</v>
      </c>
      <c r="F39" s="21" t="s">
        <v>10</v>
      </c>
      <c r="G39" s="21" t="s">
        <v>19</v>
      </c>
      <c r="H39" s="21" t="s">
        <v>10</v>
      </c>
      <c r="I39" s="21" t="s">
        <v>18</v>
      </c>
      <c r="J39" s="21" t="s">
        <v>11</v>
      </c>
      <c r="K39" s="21" t="s">
        <v>10</v>
      </c>
      <c r="L39" s="21" t="s">
        <v>11</v>
      </c>
      <c r="M39" s="21" t="s">
        <v>10</v>
      </c>
      <c r="N39" s="21" t="s">
        <v>10</v>
      </c>
      <c r="O39" s="21" t="s">
        <v>10</v>
      </c>
      <c r="P39" s="21" t="s">
        <v>20</v>
      </c>
      <c r="Q39" s="21" t="s">
        <v>22</v>
      </c>
      <c r="R39" s="45" t="s">
        <v>209</v>
      </c>
      <c r="S39" s="23" t="s">
        <v>33</v>
      </c>
      <c r="T39" s="25"/>
      <c r="U39" s="110"/>
      <c r="V39" s="25">
        <f>600-1.2</f>
        <v>598.79999999999995</v>
      </c>
      <c r="W39" s="110"/>
      <c r="X39" s="110"/>
      <c r="Y39" s="59"/>
      <c r="Z39" s="25">
        <f>V39</f>
        <v>598.79999999999995</v>
      </c>
      <c r="AA39" s="23">
        <v>2023</v>
      </c>
      <c r="AB39" s="83"/>
      <c r="AC39" s="15"/>
      <c r="AD39" s="15"/>
    </row>
    <row r="40" spans="1:31" s="16" customFormat="1" ht="29.25" x14ac:dyDescent="0.25">
      <c r="A40" s="13"/>
      <c r="B40" s="13"/>
      <c r="C40" s="13"/>
      <c r="D40" s="13"/>
      <c r="E40" s="13"/>
      <c r="F40" s="13"/>
      <c r="G40" s="13"/>
      <c r="H40" s="13"/>
      <c r="I40" s="14"/>
      <c r="J40" s="13"/>
      <c r="K40" s="13"/>
      <c r="L40" s="13"/>
      <c r="M40" s="13"/>
      <c r="N40" s="13"/>
      <c r="O40" s="13"/>
      <c r="P40" s="13"/>
      <c r="Q40" s="13"/>
      <c r="R40" s="12" t="s">
        <v>190</v>
      </c>
      <c r="S40" s="6" t="s">
        <v>1</v>
      </c>
      <c r="T40" s="60"/>
      <c r="U40" s="60"/>
      <c r="V40" s="5">
        <v>100</v>
      </c>
      <c r="W40" s="107"/>
      <c r="X40" s="107"/>
      <c r="Y40" s="107"/>
      <c r="Z40" s="3">
        <f>V40</f>
        <v>100</v>
      </c>
      <c r="AA40" s="6">
        <v>2023</v>
      </c>
      <c r="AB40" s="75"/>
      <c r="AC40" s="15"/>
      <c r="AD40" s="15"/>
    </row>
    <row r="41" spans="1:31" s="91" customFormat="1" ht="20.25" customHeight="1" x14ac:dyDescent="0.25">
      <c r="A41" s="21" t="s">
        <v>10</v>
      </c>
      <c r="B41" s="21" t="s">
        <v>11</v>
      </c>
      <c r="C41" s="21" t="s">
        <v>12</v>
      </c>
      <c r="D41" s="21" t="s">
        <v>10</v>
      </c>
      <c r="E41" s="21" t="s">
        <v>20</v>
      </c>
      <c r="F41" s="21" t="s">
        <v>10</v>
      </c>
      <c r="G41" s="21" t="s">
        <v>19</v>
      </c>
      <c r="H41" s="21" t="s">
        <v>10</v>
      </c>
      <c r="I41" s="21" t="s">
        <v>18</v>
      </c>
      <c r="J41" s="21" t="s">
        <v>11</v>
      </c>
      <c r="K41" s="21" t="s">
        <v>10</v>
      </c>
      <c r="L41" s="21" t="s">
        <v>11</v>
      </c>
      <c r="M41" s="21" t="s">
        <v>10</v>
      </c>
      <c r="N41" s="21" t="s">
        <v>10</v>
      </c>
      <c r="O41" s="21" t="s">
        <v>10</v>
      </c>
      <c r="P41" s="21" t="s">
        <v>10</v>
      </c>
      <c r="Q41" s="21" t="s">
        <v>10</v>
      </c>
      <c r="R41" s="148" t="s">
        <v>183</v>
      </c>
      <c r="S41" s="144" t="s">
        <v>33</v>
      </c>
      <c r="T41" s="25"/>
      <c r="U41" s="25">
        <f>U42+U43+U44</f>
        <v>122007</v>
      </c>
      <c r="V41" s="25">
        <f>V42+V43+V44</f>
        <v>20254.7</v>
      </c>
      <c r="W41" s="110"/>
      <c r="X41" s="56"/>
      <c r="Y41" s="56"/>
      <c r="Z41" s="25">
        <f>Z42+Z43+Z44</f>
        <v>142261.70000000001</v>
      </c>
      <c r="AA41" s="23">
        <v>2023</v>
      </c>
      <c r="AB41" s="123" t="s">
        <v>236</v>
      </c>
      <c r="AC41" s="89"/>
      <c r="AD41" s="90"/>
    </row>
    <row r="42" spans="1:31" s="91" customFormat="1" ht="20.25" customHeight="1" x14ac:dyDescent="0.25">
      <c r="A42" s="21" t="s">
        <v>10</v>
      </c>
      <c r="B42" s="21" t="s">
        <v>11</v>
      </c>
      <c r="C42" s="21" t="s">
        <v>12</v>
      </c>
      <c r="D42" s="21" t="s">
        <v>10</v>
      </c>
      <c r="E42" s="21" t="s">
        <v>20</v>
      </c>
      <c r="F42" s="21" t="s">
        <v>10</v>
      </c>
      <c r="G42" s="21" t="s">
        <v>19</v>
      </c>
      <c r="H42" s="21" t="s">
        <v>10</v>
      </c>
      <c r="I42" s="21" t="s">
        <v>18</v>
      </c>
      <c r="J42" s="21" t="s">
        <v>11</v>
      </c>
      <c r="K42" s="21" t="s">
        <v>145</v>
      </c>
      <c r="L42" s="21" t="s">
        <v>11</v>
      </c>
      <c r="M42" s="21" t="s">
        <v>10</v>
      </c>
      <c r="N42" s="21" t="s">
        <v>10</v>
      </c>
      <c r="O42" s="21" t="s">
        <v>12</v>
      </c>
      <c r="P42" s="21" t="s">
        <v>11</v>
      </c>
      <c r="Q42" s="21" t="s">
        <v>10</v>
      </c>
      <c r="R42" s="149"/>
      <c r="S42" s="145"/>
      <c r="T42" s="24"/>
      <c r="U42" s="24">
        <f>2595.4-1274.7-0.1-591.3</f>
        <v>729.30000000000018</v>
      </c>
      <c r="V42" s="24">
        <v>232</v>
      </c>
      <c r="W42" s="110"/>
      <c r="X42" s="110"/>
      <c r="Y42" s="59"/>
      <c r="Z42" s="25">
        <f>T42+U42+V42+W42+X42+Y42</f>
        <v>961.30000000000018</v>
      </c>
      <c r="AA42" s="23">
        <v>2023</v>
      </c>
      <c r="AB42" s="77" t="s">
        <v>230</v>
      </c>
      <c r="AC42" s="92"/>
      <c r="AD42" s="93"/>
      <c r="AE42" s="94"/>
    </row>
    <row r="43" spans="1:31" s="91" customFormat="1" ht="21.75" customHeight="1" x14ac:dyDescent="0.25">
      <c r="A43" s="21" t="s">
        <v>10</v>
      </c>
      <c r="B43" s="21" t="s">
        <v>11</v>
      </c>
      <c r="C43" s="21" t="s">
        <v>12</v>
      </c>
      <c r="D43" s="21" t="s">
        <v>10</v>
      </c>
      <c r="E43" s="21" t="s">
        <v>20</v>
      </c>
      <c r="F43" s="21" t="s">
        <v>10</v>
      </c>
      <c r="G43" s="21" t="s">
        <v>19</v>
      </c>
      <c r="H43" s="21" t="s">
        <v>10</v>
      </c>
      <c r="I43" s="21" t="s">
        <v>18</v>
      </c>
      <c r="J43" s="21" t="s">
        <v>11</v>
      </c>
      <c r="K43" s="21" t="s">
        <v>145</v>
      </c>
      <c r="L43" s="21" t="s">
        <v>11</v>
      </c>
      <c r="M43" s="21" t="s">
        <v>17</v>
      </c>
      <c r="N43" s="21" t="s">
        <v>10</v>
      </c>
      <c r="O43" s="21" t="s">
        <v>12</v>
      </c>
      <c r="P43" s="21" t="s">
        <v>11</v>
      </c>
      <c r="Q43" s="21" t="s">
        <v>10</v>
      </c>
      <c r="R43" s="149"/>
      <c r="S43" s="145"/>
      <c r="T43" s="24"/>
      <c r="U43" s="24">
        <f>727.7+120550</f>
        <v>121277.7</v>
      </c>
      <c r="V43" s="24"/>
      <c r="W43" s="110"/>
      <c r="X43" s="110"/>
      <c r="Y43" s="59"/>
      <c r="Z43" s="25">
        <f t="shared" ref="Z43:Z44" si="8">T43+U43+V43+W43+X43+Y43</f>
        <v>121277.7</v>
      </c>
      <c r="AA43" s="23">
        <v>2022</v>
      </c>
      <c r="AB43" s="77" t="s">
        <v>231</v>
      </c>
      <c r="AC43" s="92"/>
      <c r="AD43" s="93"/>
      <c r="AE43" s="94"/>
    </row>
    <row r="44" spans="1:31" s="91" customFormat="1" ht="17.25" customHeight="1" x14ac:dyDescent="0.25">
      <c r="A44" s="21" t="s">
        <v>10</v>
      </c>
      <c r="B44" s="21" t="s">
        <v>11</v>
      </c>
      <c r="C44" s="21" t="s">
        <v>12</v>
      </c>
      <c r="D44" s="21" t="s">
        <v>10</v>
      </c>
      <c r="E44" s="21" t="s">
        <v>20</v>
      </c>
      <c r="F44" s="21" t="s">
        <v>10</v>
      </c>
      <c r="G44" s="21" t="s">
        <v>19</v>
      </c>
      <c r="H44" s="21" t="s">
        <v>10</v>
      </c>
      <c r="I44" s="21" t="s">
        <v>18</v>
      </c>
      <c r="J44" s="21" t="s">
        <v>11</v>
      </c>
      <c r="K44" s="21" t="s">
        <v>145</v>
      </c>
      <c r="L44" s="21" t="s">
        <v>11</v>
      </c>
      <c r="M44" s="21" t="s">
        <v>17</v>
      </c>
      <c r="N44" s="21" t="s">
        <v>10</v>
      </c>
      <c r="O44" s="21" t="s">
        <v>12</v>
      </c>
      <c r="P44" s="21" t="s">
        <v>11</v>
      </c>
      <c r="Q44" s="21" t="s">
        <v>145</v>
      </c>
      <c r="R44" s="150"/>
      <c r="S44" s="146"/>
      <c r="T44" s="24"/>
      <c r="U44" s="24"/>
      <c r="V44" s="24">
        <v>20022.7</v>
      </c>
      <c r="W44" s="110"/>
      <c r="X44" s="110"/>
      <c r="Y44" s="59"/>
      <c r="Z44" s="25">
        <f t="shared" si="8"/>
        <v>20022.7</v>
      </c>
      <c r="AA44" s="23">
        <v>2023</v>
      </c>
      <c r="AB44" s="77" t="s">
        <v>232</v>
      </c>
      <c r="AC44" s="92"/>
      <c r="AD44" s="93"/>
      <c r="AE44" s="94"/>
    </row>
    <row r="45" spans="1:31" s="16" customFormat="1" ht="30" x14ac:dyDescent="0.25">
      <c r="A45" s="13"/>
      <c r="B45" s="13"/>
      <c r="C45" s="13"/>
      <c r="D45" s="13"/>
      <c r="E45" s="13"/>
      <c r="F45" s="13"/>
      <c r="G45" s="13"/>
      <c r="H45" s="13"/>
      <c r="I45" s="14"/>
      <c r="J45" s="13"/>
      <c r="K45" s="13"/>
      <c r="L45" s="13"/>
      <c r="M45" s="13"/>
      <c r="N45" s="13"/>
      <c r="O45" s="13"/>
      <c r="P45" s="13"/>
      <c r="Q45" s="13"/>
      <c r="R45" s="7" t="s">
        <v>154</v>
      </c>
      <c r="S45" s="6" t="s">
        <v>2</v>
      </c>
      <c r="T45" s="5"/>
      <c r="U45" s="5">
        <v>0.48</v>
      </c>
      <c r="V45" s="5">
        <v>0.48</v>
      </c>
      <c r="W45" s="107"/>
      <c r="X45" s="107"/>
      <c r="Y45" s="107"/>
      <c r="Z45" s="3">
        <f t="shared" ref="Z45" si="9">U45</f>
        <v>0.48</v>
      </c>
      <c r="AA45" s="8">
        <v>2023</v>
      </c>
      <c r="AB45" s="95"/>
      <c r="AC45" s="63"/>
      <c r="AD45" s="64"/>
      <c r="AE45" s="65"/>
    </row>
    <row r="46" spans="1:31" s="16" customFormat="1" ht="30" x14ac:dyDescent="0.25">
      <c r="A46" s="21" t="s">
        <v>10</v>
      </c>
      <c r="B46" s="21" t="s">
        <v>11</v>
      </c>
      <c r="C46" s="21" t="s">
        <v>12</v>
      </c>
      <c r="D46" s="21" t="s">
        <v>10</v>
      </c>
      <c r="E46" s="21" t="s">
        <v>20</v>
      </c>
      <c r="F46" s="21" t="s">
        <v>10</v>
      </c>
      <c r="G46" s="21" t="s">
        <v>19</v>
      </c>
      <c r="H46" s="21" t="s">
        <v>10</v>
      </c>
      <c r="I46" s="21" t="s">
        <v>18</v>
      </c>
      <c r="J46" s="21" t="s">
        <v>11</v>
      </c>
      <c r="K46" s="21" t="s">
        <v>10</v>
      </c>
      <c r="L46" s="21" t="s">
        <v>11</v>
      </c>
      <c r="M46" s="21" t="s">
        <v>10</v>
      </c>
      <c r="N46" s="21" t="s">
        <v>10</v>
      </c>
      <c r="O46" s="21" t="s">
        <v>10</v>
      </c>
      <c r="P46" s="21" t="s">
        <v>20</v>
      </c>
      <c r="Q46" s="21" t="s">
        <v>12</v>
      </c>
      <c r="R46" s="45" t="s">
        <v>184</v>
      </c>
      <c r="S46" s="23" t="s">
        <v>33</v>
      </c>
      <c r="T46" s="25"/>
      <c r="U46" s="25">
        <f>4346.4-3446.4</f>
        <v>899.99999999999955</v>
      </c>
      <c r="V46" s="25">
        <v>13586.7</v>
      </c>
      <c r="W46" s="25">
        <f>2751.4+1317.6</f>
        <v>4069</v>
      </c>
      <c r="X46" s="25">
        <v>6676.4</v>
      </c>
      <c r="Y46" s="25">
        <v>5664.9</v>
      </c>
      <c r="Z46" s="25">
        <f>T46+U46+V46+W46+X46+Y46</f>
        <v>30897</v>
      </c>
      <c r="AA46" s="23">
        <v>2026</v>
      </c>
      <c r="AB46" s="116" t="s">
        <v>192</v>
      </c>
      <c r="AC46" s="63"/>
      <c r="AD46" s="64"/>
      <c r="AE46" s="65"/>
    </row>
    <row r="47" spans="1:31" s="16" customFormat="1" ht="29.25" x14ac:dyDescent="0.25">
      <c r="A47" s="13"/>
      <c r="B47" s="13"/>
      <c r="C47" s="13"/>
      <c r="D47" s="13"/>
      <c r="E47" s="13"/>
      <c r="F47" s="13"/>
      <c r="G47" s="13"/>
      <c r="H47" s="13"/>
      <c r="I47" s="14"/>
      <c r="J47" s="13"/>
      <c r="K47" s="13"/>
      <c r="L47" s="13"/>
      <c r="M47" s="13"/>
      <c r="N47" s="13"/>
      <c r="O47" s="13"/>
      <c r="P47" s="13"/>
      <c r="Q47" s="13"/>
      <c r="R47" s="12" t="s">
        <v>104</v>
      </c>
      <c r="S47" s="6" t="s">
        <v>2</v>
      </c>
      <c r="T47" s="60"/>
      <c r="U47" s="111"/>
      <c r="V47" s="60">
        <f>(280.5+813.4+416.1+456.5)/1000</f>
        <v>1.9664999999999999</v>
      </c>
      <c r="W47" s="5"/>
      <c r="X47" s="60"/>
      <c r="Y47" s="109"/>
      <c r="Z47" s="61">
        <f>U47+V47+W47+X47+Y47</f>
        <v>1.9664999999999999</v>
      </c>
      <c r="AA47" s="6">
        <v>2023</v>
      </c>
      <c r="AB47" s="116" t="s">
        <v>193</v>
      </c>
      <c r="AC47" s="63"/>
      <c r="AD47" s="64"/>
      <c r="AE47" s="65"/>
    </row>
    <row r="48" spans="1:31" s="16" customFormat="1" ht="29.25" x14ac:dyDescent="0.25">
      <c r="A48" s="13"/>
      <c r="B48" s="13"/>
      <c r="C48" s="13"/>
      <c r="D48" s="13"/>
      <c r="E48" s="13"/>
      <c r="F48" s="13"/>
      <c r="G48" s="13"/>
      <c r="H48" s="13"/>
      <c r="I48" s="14"/>
      <c r="J48" s="13"/>
      <c r="K48" s="13"/>
      <c r="L48" s="13"/>
      <c r="M48" s="13"/>
      <c r="N48" s="13"/>
      <c r="O48" s="13"/>
      <c r="P48" s="13"/>
      <c r="Q48" s="13"/>
      <c r="R48" s="12" t="s">
        <v>140</v>
      </c>
      <c r="S48" s="6" t="s">
        <v>30</v>
      </c>
      <c r="T48" s="60"/>
      <c r="U48" s="9">
        <v>2</v>
      </c>
      <c r="V48" s="9">
        <v>3</v>
      </c>
      <c r="W48" s="9">
        <v>7</v>
      </c>
      <c r="X48" s="9">
        <v>10</v>
      </c>
      <c r="Y48" s="9">
        <v>12</v>
      </c>
      <c r="Z48" s="4">
        <f>U48+V48+W48+X48+Y48</f>
        <v>34</v>
      </c>
      <c r="AA48" s="6">
        <v>2026</v>
      </c>
      <c r="AB48" s="75" t="s">
        <v>194</v>
      </c>
      <c r="AC48" s="63"/>
      <c r="AD48" s="64"/>
      <c r="AE48" s="65"/>
    </row>
    <row r="49" spans="1:31" s="16" customFormat="1" ht="19.5" customHeight="1" x14ac:dyDescent="0.25">
      <c r="A49" s="21" t="s">
        <v>10</v>
      </c>
      <c r="B49" s="21" t="s">
        <v>11</v>
      </c>
      <c r="C49" s="21" t="s">
        <v>12</v>
      </c>
      <c r="D49" s="21" t="s">
        <v>10</v>
      </c>
      <c r="E49" s="21" t="s">
        <v>20</v>
      </c>
      <c r="F49" s="21" t="s">
        <v>10</v>
      </c>
      <c r="G49" s="21" t="s">
        <v>19</v>
      </c>
      <c r="H49" s="21" t="s">
        <v>10</v>
      </c>
      <c r="I49" s="21" t="s">
        <v>18</v>
      </c>
      <c r="J49" s="21" t="s">
        <v>11</v>
      </c>
      <c r="K49" s="21" t="s">
        <v>10</v>
      </c>
      <c r="L49" s="21" t="s">
        <v>11</v>
      </c>
      <c r="M49" s="21" t="s">
        <v>10</v>
      </c>
      <c r="N49" s="21" t="s">
        <v>10</v>
      </c>
      <c r="O49" s="21" t="s">
        <v>10</v>
      </c>
      <c r="P49" s="21" t="s">
        <v>10</v>
      </c>
      <c r="Q49" s="21" t="s">
        <v>10</v>
      </c>
      <c r="R49" s="141" t="s">
        <v>177</v>
      </c>
      <c r="S49" s="144" t="s">
        <v>33</v>
      </c>
      <c r="T49" s="25">
        <f>T50+T51+T52</f>
        <v>7611.3</v>
      </c>
      <c r="U49" s="59"/>
      <c r="V49" s="56"/>
      <c r="W49" s="56"/>
      <c r="X49" s="56"/>
      <c r="Y49" s="56"/>
      <c r="Z49" s="25">
        <f>T49+U49+V49+W49+X49+Y49</f>
        <v>7611.3</v>
      </c>
      <c r="AA49" s="23">
        <v>2021</v>
      </c>
      <c r="AB49" s="76"/>
      <c r="AC49" s="30"/>
      <c r="AD49" s="15"/>
    </row>
    <row r="50" spans="1:31" s="16" customFormat="1" x14ac:dyDescent="0.25">
      <c r="A50" s="21" t="s">
        <v>10</v>
      </c>
      <c r="B50" s="21" t="s">
        <v>11</v>
      </c>
      <c r="C50" s="21" t="s">
        <v>12</v>
      </c>
      <c r="D50" s="21" t="s">
        <v>10</v>
      </c>
      <c r="E50" s="21" t="s">
        <v>20</v>
      </c>
      <c r="F50" s="21" t="s">
        <v>10</v>
      </c>
      <c r="G50" s="21" t="s">
        <v>19</v>
      </c>
      <c r="H50" s="21" t="s">
        <v>10</v>
      </c>
      <c r="I50" s="21" t="s">
        <v>18</v>
      </c>
      <c r="J50" s="21" t="s">
        <v>11</v>
      </c>
      <c r="K50" s="21" t="s">
        <v>10</v>
      </c>
      <c r="L50" s="21" t="s">
        <v>11</v>
      </c>
      <c r="M50" s="21" t="s">
        <v>10</v>
      </c>
      <c r="N50" s="21" t="s">
        <v>10</v>
      </c>
      <c r="O50" s="21" t="s">
        <v>18</v>
      </c>
      <c r="P50" s="21" t="s">
        <v>17</v>
      </c>
      <c r="Q50" s="21" t="s">
        <v>112</v>
      </c>
      <c r="R50" s="142"/>
      <c r="S50" s="145"/>
      <c r="T50" s="24">
        <v>493.1</v>
      </c>
      <c r="U50" s="59"/>
      <c r="V50" s="56"/>
      <c r="W50" s="56"/>
      <c r="X50" s="56"/>
      <c r="Y50" s="56"/>
      <c r="Z50" s="25">
        <f>T50</f>
        <v>493.1</v>
      </c>
      <c r="AA50" s="23">
        <v>2021</v>
      </c>
      <c r="AB50" s="76"/>
      <c r="AC50" s="30"/>
      <c r="AD50" s="15"/>
    </row>
    <row r="51" spans="1:31" s="16" customFormat="1" ht="18" customHeight="1" x14ac:dyDescent="0.25">
      <c r="A51" s="21" t="s">
        <v>10</v>
      </c>
      <c r="B51" s="21" t="s">
        <v>11</v>
      </c>
      <c r="C51" s="21" t="s">
        <v>12</v>
      </c>
      <c r="D51" s="21" t="s">
        <v>10</v>
      </c>
      <c r="E51" s="21" t="s">
        <v>20</v>
      </c>
      <c r="F51" s="21" t="s">
        <v>10</v>
      </c>
      <c r="G51" s="21" t="s">
        <v>19</v>
      </c>
      <c r="H51" s="21" t="s">
        <v>10</v>
      </c>
      <c r="I51" s="21" t="s">
        <v>18</v>
      </c>
      <c r="J51" s="21" t="s">
        <v>11</v>
      </c>
      <c r="K51" s="21" t="s">
        <v>10</v>
      </c>
      <c r="L51" s="21" t="s">
        <v>11</v>
      </c>
      <c r="M51" s="21" t="s">
        <v>40</v>
      </c>
      <c r="N51" s="21" t="s">
        <v>10</v>
      </c>
      <c r="O51" s="21" t="s">
        <v>18</v>
      </c>
      <c r="P51" s="21" t="s">
        <v>17</v>
      </c>
      <c r="Q51" s="21" t="s">
        <v>112</v>
      </c>
      <c r="R51" s="142"/>
      <c r="S51" s="145"/>
      <c r="T51" s="24">
        <f>687.6+24.3</f>
        <v>711.9</v>
      </c>
      <c r="U51" s="59"/>
      <c r="V51" s="56"/>
      <c r="W51" s="56"/>
      <c r="X51" s="56"/>
      <c r="Y51" s="56"/>
      <c r="Z51" s="25">
        <f>T51+U51+V51+W51+X51+Y51</f>
        <v>711.9</v>
      </c>
      <c r="AA51" s="23">
        <v>2021</v>
      </c>
      <c r="AB51" s="76"/>
      <c r="AC51" s="30"/>
      <c r="AD51" s="15"/>
    </row>
    <row r="52" spans="1:31" s="16" customFormat="1" ht="16.5" customHeight="1" x14ac:dyDescent="0.25">
      <c r="A52" s="21" t="s">
        <v>10</v>
      </c>
      <c r="B52" s="21" t="s">
        <v>11</v>
      </c>
      <c r="C52" s="21" t="s">
        <v>12</v>
      </c>
      <c r="D52" s="21" t="s">
        <v>10</v>
      </c>
      <c r="E52" s="21" t="s">
        <v>20</v>
      </c>
      <c r="F52" s="21" t="s">
        <v>10</v>
      </c>
      <c r="G52" s="21" t="s">
        <v>19</v>
      </c>
      <c r="H52" s="21" t="s">
        <v>10</v>
      </c>
      <c r="I52" s="21" t="s">
        <v>18</v>
      </c>
      <c r="J52" s="21" t="s">
        <v>11</v>
      </c>
      <c r="K52" s="21" t="s">
        <v>10</v>
      </c>
      <c r="L52" s="21" t="s">
        <v>11</v>
      </c>
      <c r="M52" s="21" t="s">
        <v>11</v>
      </c>
      <c r="N52" s="21" t="s">
        <v>10</v>
      </c>
      <c r="O52" s="21" t="s">
        <v>18</v>
      </c>
      <c r="P52" s="21" t="s">
        <v>17</v>
      </c>
      <c r="Q52" s="21" t="s">
        <v>112</v>
      </c>
      <c r="R52" s="143"/>
      <c r="S52" s="146"/>
      <c r="T52" s="24">
        <f>6188+218.3</f>
        <v>6406.3</v>
      </c>
      <c r="U52" s="59"/>
      <c r="V52" s="56"/>
      <c r="W52" s="56"/>
      <c r="X52" s="56"/>
      <c r="Y52" s="59"/>
      <c r="Z52" s="25">
        <f>T52+U52+V52+W52+X52+Y52</f>
        <v>6406.3</v>
      </c>
      <c r="AA52" s="23">
        <v>2021</v>
      </c>
      <c r="AB52" s="76"/>
      <c r="AC52" s="30"/>
      <c r="AD52" s="15"/>
    </row>
    <row r="53" spans="1:31" s="16" customFormat="1" ht="29.25" x14ac:dyDescent="0.25">
      <c r="A53" s="13"/>
      <c r="B53" s="13"/>
      <c r="C53" s="13"/>
      <c r="D53" s="13"/>
      <c r="E53" s="13"/>
      <c r="F53" s="13"/>
      <c r="G53" s="13"/>
      <c r="H53" s="13"/>
      <c r="I53" s="14"/>
      <c r="J53" s="13"/>
      <c r="K53" s="13"/>
      <c r="L53" s="13"/>
      <c r="M53" s="13"/>
      <c r="N53" s="13"/>
      <c r="O53" s="13"/>
      <c r="P53" s="13"/>
      <c r="Q53" s="13"/>
      <c r="R53" s="12" t="s">
        <v>104</v>
      </c>
      <c r="S53" s="6" t="s">
        <v>2</v>
      </c>
      <c r="T53" s="5">
        <v>2.5</v>
      </c>
      <c r="U53" s="108"/>
      <c r="V53" s="108"/>
      <c r="W53" s="108"/>
      <c r="X53" s="107"/>
      <c r="Y53" s="107"/>
      <c r="Z53" s="3">
        <f t="shared" ref="Z53:Z65" si="10">T53</f>
        <v>2.5</v>
      </c>
      <c r="AA53" s="6">
        <v>2021</v>
      </c>
      <c r="AB53" s="76"/>
      <c r="AC53" s="30"/>
      <c r="AD53" s="15"/>
    </row>
    <row r="54" spans="1:31" s="16" customFormat="1" ht="18.75" customHeight="1" x14ac:dyDescent="0.25">
      <c r="A54" s="21" t="s">
        <v>10</v>
      </c>
      <c r="B54" s="21" t="s">
        <v>11</v>
      </c>
      <c r="C54" s="21" t="s">
        <v>12</v>
      </c>
      <c r="D54" s="21" t="s">
        <v>10</v>
      </c>
      <c r="E54" s="21" t="s">
        <v>20</v>
      </c>
      <c r="F54" s="21" t="s">
        <v>11</v>
      </c>
      <c r="G54" s="21" t="s">
        <v>12</v>
      </c>
      <c r="H54" s="21" t="s">
        <v>10</v>
      </c>
      <c r="I54" s="21" t="s">
        <v>18</v>
      </c>
      <c r="J54" s="21" t="s">
        <v>11</v>
      </c>
      <c r="K54" s="21" t="s">
        <v>10</v>
      </c>
      <c r="L54" s="21" t="s">
        <v>11</v>
      </c>
      <c r="M54" s="21" t="s">
        <v>10</v>
      </c>
      <c r="N54" s="21" t="s">
        <v>10</v>
      </c>
      <c r="O54" s="21" t="s">
        <v>10</v>
      </c>
      <c r="P54" s="21" t="s">
        <v>10</v>
      </c>
      <c r="Q54" s="21" t="s">
        <v>10</v>
      </c>
      <c r="R54" s="148" t="s">
        <v>178</v>
      </c>
      <c r="S54" s="144" t="s">
        <v>33</v>
      </c>
      <c r="T54" s="25">
        <f>T55+T56</f>
        <v>8212.2000000000007</v>
      </c>
      <c r="U54" s="110"/>
      <c r="V54" s="110"/>
      <c r="W54" s="110"/>
      <c r="X54" s="56"/>
      <c r="Y54" s="56"/>
      <c r="Z54" s="25">
        <f t="shared" si="10"/>
        <v>8212.2000000000007</v>
      </c>
      <c r="AA54" s="23">
        <v>2021</v>
      </c>
      <c r="AB54" s="76"/>
      <c r="AC54" s="30"/>
      <c r="AD54" s="15"/>
    </row>
    <row r="55" spans="1:31" s="16" customFormat="1" ht="21" customHeight="1" x14ac:dyDescent="0.25">
      <c r="A55" s="21" t="s">
        <v>10</v>
      </c>
      <c r="B55" s="21" t="s">
        <v>11</v>
      </c>
      <c r="C55" s="21" t="s">
        <v>12</v>
      </c>
      <c r="D55" s="21" t="s">
        <v>10</v>
      </c>
      <c r="E55" s="21" t="s">
        <v>20</v>
      </c>
      <c r="F55" s="21" t="s">
        <v>11</v>
      </c>
      <c r="G55" s="21" t="s">
        <v>12</v>
      </c>
      <c r="H55" s="21" t="s">
        <v>10</v>
      </c>
      <c r="I55" s="21" t="s">
        <v>18</v>
      </c>
      <c r="J55" s="21" t="s">
        <v>11</v>
      </c>
      <c r="K55" s="21" t="s">
        <v>116</v>
      </c>
      <c r="L55" s="21" t="s">
        <v>11</v>
      </c>
      <c r="M55" s="21" t="s">
        <v>10</v>
      </c>
      <c r="N55" s="21" t="s">
        <v>10</v>
      </c>
      <c r="O55" s="21" t="s">
        <v>21</v>
      </c>
      <c r="P55" s="21" t="s">
        <v>22</v>
      </c>
      <c r="Q55" s="21" t="s">
        <v>11</v>
      </c>
      <c r="R55" s="149"/>
      <c r="S55" s="145"/>
      <c r="T55" s="24">
        <f>350-262.6+298.2-44.8</f>
        <v>340.79999999999995</v>
      </c>
      <c r="U55" s="110"/>
      <c r="V55" s="110"/>
      <c r="W55" s="110"/>
      <c r="X55" s="110"/>
      <c r="Y55" s="59"/>
      <c r="Z55" s="25">
        <f t="shared" si="10"/>
        <v>340.79999999999995</v>
      </c>
      <c r="AA55" s="23">
        <v>2021</v>
      </c>
      <c r="AB55" s="73"/>
      <c r="AC55" s="63"/>
      <c r="AD55" s="64"/>
      <c r="AE55" s="65"/>
    </row>
    <row r="56" spans="1:31" s="16" customFormat="1" ht="17.25" customHeight="1" x14ac:dyDescent="0.25">
      <c r="A56" s="21" t="s">
        <v>10</v>
      </c>
      <c r="B56" s="21" t="s">
        <v>11</v>
      </c>
      <c r="C56" s="21" t="s">
        <v>12</v>
      </c>
      <c r="D56" s="21" t="s">
        <v>10</v>
      </c>
      <c r="E56" s="21" t="s">
        <v>20</v>
      </c>
      <c r="F56" s="21" t="s">
        <v>11</v>
      </c>
      <c r="G56" s="21" t="s">
        <v>12</v>
      </c>
      <c r="H56" s="21" t="s">
        <v>10</v>
      </c>
      <c r="I56" s="21" t="s">
        <v>18</v>
      </c>
      <c r="J56" s="21" t="s">
        <v>11</v>
      </c>
      <c r="K56" s="21" t="s">
        <v>116</v>
      </c>
      <c r="L56" s="21" t="s">
        <v>11</v>
      </c>
      <c r="M56" s="21" t="s">
        <v>17</v>
      </c>
      <c r="N56" s="21" t="s">
        <v>21</v>
      </c>
      <c r="O56" s="21" t="s">
        <v>21</v>
      </c>
      <c r="P56" s="21" t="s">
        <v>22</v>
      </c>
      <c r="Q56" s="21" t="s">
        <v>11</v>
      </c>
      <c r="R56" s="150"/>
      <c r="S56" s="146"/>
      <c r="T56" s="24">
        <f>7618.7+262.6-9.9</f>
        <v>7871.4000000000005</v>
      </c>
      <c r="U56" s="110"/>
      <c r="V56" s="110"/>
      <c r="W56" s="110"/>
      <c r="X56" s="110"/>
      <c r="Y56" s="59"/>
      <c r="Z56" s="25">
        <f t="shared" si="10"/>
        <v>7871.4000000000005</v>
      </c>
      <c r="AA56" s="23">
        <v>2021</v>
      </c>
      <c r="AB56" s="73"/>
      <c r="AC56" s="63"/>
      <c r="AD56" s="64"/>
      <c r="AE56" s="65"/>
    </row>
    <row r="57" spans="1:31" s="16" customFormat="1" ht="30" x14ac:dyDescent="0.25">
      <c r="A57" s="13"/>
      <c r="B57" s="13"/>
      <c r="C57" s="13"/>
      <c r="D57" s="13"/>
      <c r="E57" s="13"/>
      <c r="F57" s="13"/>
      <c r="G57" s="13"/>
      <c r="H57" s="13"/>
      <c r="I57" s="14"/>
      <c r="J57" s="13"/>
      <c r="K57" s="13"/>
      <c r="L57" s="13"/>
      <c r="M57" s="13"/>
      <c r="N57" s="13"/>
      <c r="O57" s="13"/>
      <c r="P57" s="13"/>
      <c r="Q57" s="13"/>
      <c r="R57" s="7" t="s">
        <v>108</v>
      </c>
      <c r="S57" s="6" t="s">
        <v>1</v>
      </c>
      <c r="T57" s="5">
        <v>100</v>
      </c>
      <c r="U57" s="108"/>
      <c r="V57" s="107"/>
      <c r="W57" s="107"/>
      <c r="X57" s="107"/>
      <c r="Y57" s="107"/>
      <c r="Z57" s="3">
        <f t="shared" si="10"/>
        <v>100</v>
      </c>
      <c r="AA57" s="8">
        <v>2021</v>
      </c>
      <c r="AB57" s="73"/>
      <c r="AC57" s="63"/>
      <c r="AD57" s="64"/>
      <c r="AE57" s="65"/>
    </row>
    <row r="58" spans="1:31" s="16" customFormat="1" ht="48" customHeight="1" x14ac:dyDescent="0.25">
      <c r="A58" s="21" t="s">
        <v>10</v>
      </c>
      <c r="B58" s="21" t="s">
        <v>11</v>
      </c>
      <c r="C58" s="21" t="s">
        <v>12</v>
      </c>
      <c r="D58" s="21" t="s">
        <v>10</v>
      </c>
      <c r="E58" s="21" t="s">
        <v>20</v>
      </c>
      <c r="F58" s="21" t="s">
        <v>10</v>
      </c>
      <c r="G58" s="21" t="s">
        <v>19</v>
      </c>
      <c r="H58" s="21" t="s">
        <v>10</v>
      </c>
      <c r="I58" s="21" t="s">
        <v>18</v>
      </c>
      <c r="J58" s="21" t="s">
        <v>11</v>
      </c>
      <c r="K58" s="21" t="s">
        <v>10</v>
      </c>
      <c r="L58" s="21" t="s">
        <v>11</v>
      </c>
      <c r="M58" s="21" t="s">
        <v>10</v>
      </c>
      <c r="N58" s="21" t="s">
        <v>10</v>
      </c>
      <c r="O58" s="21" t="s">
        <v>10</v>
      </c>
      <c r="P58" s="21" t="s">
        <v>21</v>
      </c>
      <c r="Q58" s="21" t="s">
        <v>18</v>
      </c>
      <c r="R58" s="45" t="s">
        <v>179</v>
      </c>
      <c r="S58" s="23" t="s">
        <v>33</v>
      </c>
      <c r="T58" s="25">
        <v>898.2</v>
      </c>
      <c r="U58" s="110"/>
      <c r="V58" s="110"/>
      <c r="W58" s="110"/>
      <c r="X58" s="110"/>
      <c r="Y58" s="59"/>
      <c r="Z58" s="25">
        <f t="shared" si="10"/>
        <v>898.2</v>
      </c>
      <c r="AA58" s="23">
        <v>2021</v>
      </c>
      <c r="AB58" s="73"/>
      <c r="AC58" s="63"/>
      <c r="AD58" s="64"/>
      <c r="AE58" s="65"/>
    </row>
    <row r="59" spans="1:31" s="16" customFormat="1" ht="33.6" customHeight="1" x14ac:dyDescent="0.25">
      <c r="A59" s="13"/>
      <c r="B59" s="13"/>
      <c r="C59" s="13"/>
      <c r="D59" s="13"/>
      <c r="E59" s="13"/>
      <c r="F59" s="13"/>
      <c r="G59" s="13"/>
      <c r="H59" s="13"/>
      <c r="I59" s="14"/>
      <c r="J59" s="13"/>
      <c r="K59" s="13"/>
      <c r="L59" s="13"/>
      <c r="M59" s="13"/>
      <c r="N59" s="13"/>
      <c r="O59" s="13"/>
      <c r="P59" s="13"/>
      <c r="Q59" s="13"/>
      <c r="R59" s="12" t="s">
        <v>104</v>
      </c>
      <c r="S59" s="6" t="s">
        <v>2</v>
      </c>
      <c r="T59" s="60">
        <v>0.91400000000000003</v>
      </c>
      <c r="U59" s="109"/>
      <c r="V59" s="109"/>
      <c r="W59" s="109"/>
      <c r="X59" s="109"/>
      <c r="Y59" s="109"/>
      <c r="Z59" s="61">
        <f t="shared" si="10"/>
        <v>0.91400000000000003</v>
      </c>
      <c r="AA59" s="6">
        <v>2021</v>
      </c>
      <c r="AB59" s="73"/>
      <c r="AC59" s="63"/>
      <c r="AD59" s="64"/>
      <c r="AE59" s="65"/>
    </row>
    <row r="60" spans="1:31" s="16" customFormat="1" ht="48" customHeight="1" x14ac:dyDescent="0.25">
      <c r="A60" s="21" t="s">
        <v>10</v>
      </c>
      <c r="B60" s="21" t="s">
        <v>11</v>
      </c>
      <c r="C60" s="21" t="s">
        <v>12</v>
      </c>
      <c r="D60" s="21" t="s">
        <v>10</v>
      </c>
      <c r="E60" s="21" t="s">
        <v>20</v>
      </c>
      <c r="F60" s="21" t="s">
        <v>10</v>
      </c>
      <c r="G60" s="21" t="s">
        <v>19</v>
      </c>
      <c r="H60" s="21" t="s">
        <v>10</v>
      </c>
      <c r="I60" s="21" t="s">
        <v>18</v>
      </c>
      <c r="J60" s="21" t="s">
        <v>11</v>
      </c>
      <c r="K60" s="21" t="s">
        <v>10</v>
      </c>
      <c r="L60" s="21" t="s">
        <v>11</v>
      </c>
      <c r="M60" s="21" t="s">
        <v>10</v>
      </c>
      <c r="N60" s="21" t="s">
        <v>10</v>
      </c>
      <c r="O60" s="21" t="s">
        <v>10</v>
      </c>
      <c r="P60" s="21" t="s">
        <v>21</v>
      </c>
      <c r="Q60" s="21" t="s">
        <v>19</v>
      </c>
      <c r="R60" s="45" t="s">
        <v>180</v>
      </c>
      <c r="S60" s="23" t="s">
        <v>33</v>
      </c>
      <c r="T60" s="25">
        <v>2193.3000000000002</v>
      </c>
      <c r="U60" s="110"/>
      <c r="V60" s="110"/>
      <c r="W60" s="110"/>
      <c r="X60" s="110"/>
      <c r="Y60" s="59"/>
      <c r="Z60" s="25">
        <f t="shared" si="10"/>
        <v>2193.3000000000002</v>
      </c>
      <c r="AA60" s="23">
        <v>2021</v>
      </c>
      <c r="AB60" s="73"/>
      <c r="AC60" s="63"/>
      <c r="AD60" s="64"/>
      <c r="AE60" s="65"/>
    </row>
    <row r="61" spans="1:31" s="16" customFormat="1" ht="34.15" customHeight="1" x14ac:dyDescent="0.25">
      <c r="A61" s="13"/>
      <c r="B61" s="13"/>
      <c r="C61" s="13"/>
      <c r="D61" s="13"/>
      <c r="E61" s="13"/>
      <c r="F61" s="13"/>
      <c r="G61" s="13"/>
      <c r="H61" s="13"/>
      <c r="I61" s="14"/>
      <c r="J61" s="13"/>
      <c r="K61" s="13"/>
      <c r="L61" s="13"/>
      <c r="M61" s="13"/>
      <c r="N61" s="13"/>
      <c r="O61" s="13"/>
      <c r="P61" s="13"/>
      <c r="Q61" s="13"/>
      <c r="R61" s="12" t="s">
        <v>104</v>
      </c>
      <c r="S61" s="6" t="s">
        <v>2</v>
      </c>
      <c r="T61" s="60">
        <v>0.29799999999999999</v>
      </c>
      <c r="U61" s="109"/>
      <c r="V61" s="109"/>
      <c r="W61" s="109"/>
      <c r="X61" s="109"/>
      <c r="Y61" s="109"/>
      <c r="Z61" s="61">
        <f t="shared" si="10"/>
        <v>0.29799999999999999</v>
      </c>
      <c r="AA61" s="6">
        <v>2021</v>
      </c>
      <c r="AB61" s="73"/>
      <c r="AC61" s="63"/>
      <c r="AD61" s="64"/>
      <c r="AE61" s="65"/>
    </row>
    <row r="62" spans="1:31" s="16" customFormat="1" ht="47.45" customHeight="1" x14ac:dyDescent="0.25">
      <c r="A62" s="21" t="s">
        <v>10</v>
      </c>
      <c r="B62" s="21" t="s">
        <v>11</v>
      </c>
      <c r="C62" s="21" t="s">
        <v>12</v>
      </c>
      <c r="D62" s="21" t="s">
        <v>10</v>
      </c>
      <c r="E62" s="21" t="s">
        <v>20</v>
      </c>
      <c r="F62" s="21" t="s">
        <v>10</v>
      </c>
      <c r="G62" s="21" t="s">
        <v>19</v>
      </c>
      <c r="H62" s="21" t="s">
        <v>10</v>
      </c>
      <c r="I62" s="21" t="s">
        <v>18</v>
      </c>
      <c r="J62" s="21" t="s">
        <v>11</v>
      </c>
      <c r="K62" s="21" t="s">
        <v>10</v>
      </c>
      <c r="L62" s="21" t="s">
        <v>11</v>
      </c>
      <c r="M62" s="21" t="s">
        <v>10</v>
      </c>
      <c r="N62" s="21" t="s">
        <v>10</v>
      </c>
      <c r="O62" s="21" t="s">
        <v>10</v>
      </c>
      <c r="P62" s="21" t="s">
        <v>20</v>
      </c>
      <c r="Q62" s="21" t="s">
        <v>10</v>
      </c>
      <c r="R62" s="45" t="s">
        <v>181</v>
      </c>
      <c r="S62" s="23" t="s">
        <v>33</v>
      </c>
      <c r="T62" s="25">
        <v>2479.6</v>
      </c>
      <c r="U62" s="110"/>
      <c r="V62" s="110"/>
      <c r="W62" s="110"/>
      <c r="X62" s="110"/>
      <c r="Y62" s="59"/>
      <c r="Z62" s="25">
        <f t="shared" si="10"/>
        <v>2479.6</v>
      </c>
      <c r="AA62" s="23">
        <v>2021</v>
      </c>
      <c r="AB62" s="73"/>
      <c r="AC62" s="63"/>
      <c r="AD62" s="64"/>
      <c r="AE62" s="65"/>
    </row>
    <row r="63" spans="1:31" s="16" customFormat="1" ht="36" customHeight="1" x14ac:dyDescent="0.25">
      <c r="A63" s="13"/>
      <c r="B63" s="13"/>
      <c r="C63" s="13"/>
      <c r="D63" s="13"/>
      <c r="E63" s="13"/>
      <c r="F63" s="13"/>
      <c r="G63" s="13"/>
      <c r="H63" s="13"/>
      <c r="I63" s="14"/>
      <c r="J63" s="13"/>
      <c r="K63" s="13"/>
      <c r="L63" s="13"/>
      <c r="M63" s="13"/>
      <c r="N63" s="13"/>
      <c r="O63" s="13"/>
      <c r="P63" s="13"/>
      <c r="Q63" s="13"/>
      <c r="R63" s="12" t="s">
        <v>104</v>
      </c>
      <c r="S63" s="6" t="s">
        <v>2</v>
      </c>
      <c r="T63" s="60">
        <v>0.29499999999999998</v>
      </c>
      <c r="U63" s="109"/>
      <c r="V63" s="109"/>
      <c r="W63" s="109"/>
      <c r="X63" s="109"/>
      <c r="Y63" s="109"/>
      <c r="Z63" s="61">
        <f t="shared" si="10"/>
        <v>0.29499999999999998</v>
      </c>
      <c r="AA63" s="6">
        <v>2021</v>
      </c>
      <c r="AB63" s="73"/>
      <c r="AC63" s="63"/>
      <c r="AD63" s="64"/>
      <c r="AE63" s="65"/>
    </row>
    <row r="64" spans="1:31" s="16" customFormat="1" ht="47.45" customHeight="1" x14ac:dyDescent="0.25">
      <c r="A64" s="21" t="s">
        <v>10</v>
      </c>
      <c r="B64" s="21" t="s">
        <v>11</v>
      </c>
      <c r="C64" s="21" t="s">
        <v>12</v>
      </c>
      <c r="D64" s="21" t="s">
        <v>10</v>
      </c>
      <c r="E64" s="21" t="s">
        <v>20</v>
      </c>
      <c r="F64" s="21" t="s">
        <v>10</v>
      </c>
      <c r="G64" s="21" t="s">
        <v>19</v>
      </c>
      <c r="H64" s="21" t="s">
        <v>10</v>
      </c>
      <c r="I64" s="21" t="s">
        <v>18</v>
      </c>
      <c r="J64" s="21" t="s">
        <v>11</v>
      </c>
      <c r="K64" s="21" t="s">
        <v>10</v>
      </c>
      <c r="L64" s="21" t="s">
        <v>11</v>
      </c>
      <c r="M64" s="21" t="s">
        <v>10</v>
      </c>
      <c r="N64" s="21" t="s">
        <v>10</v>
      </c>
      <c r="O64" s="21" t="s">
        <v>10</v>
      </c>
      <c r="P64" s="21" t="s">
        <v>20</v>
      </c>
      <c r="Q64" s="21" t="s">
        <v>11</v>
      </c>
      <c r="R64" s="45" t="s">
        <v>182</v>
      </c>
      <c r="S64" s="23" t="s">
        <v>33</v>
      </c>
      <c r="T64" s="25">
        <v>1650.9</v>
      </c>
      <c r="U64" s="110"/>
      <c r="V64" s="110"/>
      <c r="W64" s="110"/>
      <c r="X64" s="110"/>
      <c r="Y64" s="59"/>
      <c r="Z64" s="25">
        <f t="shared" si="10"/>
        <v>1650.9</v>
      </c>
      <c r="AA64" s="23">
        <v>2021</v>
      </c>
      <c r="AB64" s="73"/>
      <c r="AC64" s="63"/>
      <c r="AD64" s="64"/>
      <c r="AE64" s="65"/>
    </row>
    <row r="65" spans="1:32" s="16" customFormat="1" ht="36" customHeight="1" x14ac:dyDescent="0.25">
      <c r="A65" s="13"/>
      <c r="B65" s="13"/>
      <c r="C65" s="13"/>
      <c r="D65" s="13"/>
      <c r="E65" s="13"/>
      <c r="F65" s="13"/>
      <c r="G65" s="13"/>
      <c r="H65" s="13"/>
      <c r="I65" s="14"/>
      <c r="J65" s="13"/>
      <c r="K65" s="13"/>
      <c r="L65" s="13"/>
      <c r="M65" s="13"/>
      <c r="N65" s="13"/>
      <c r="O65" s="13"/>
      <c r="P65" s="13"/>
      <c r="Q65" s="13"/>
      <c r="R65" s="12" t="s">
        <v>104</v>
      </c>
      <c r="S65" s="6" t="s">
        <v>2</v>
      </c>
      <c r="T65" s="60">
        <v>0.23799999999999999</v>
      </c>
      <c r="U65" s="109"/>
      <c r="V65" s="109"/>
      <c r="W65" s="109"/>
      <c r="X65" s="109"/>
      <c r="Y65" s="109"/>
      <c r="Z65" s="61">
        <f t="shared" si="10"/>
        <v>0.23799999999999999</v>
      </c>
      <c r="AA65" s="6">
        <v>2021</v>
      </c>
      <c r="AB65" s="73"/>
      <c r="AC65" s="63"/>
      <c r="AD65" s="64"/>
      <c r="AE65" s="65"/>
    </row>
    <row r="66" spans="1:32" s="20" customFormat="1" ht="42.75" x14ac:dyDescent="0.25">
      <c r="A66" s="39"/>
      <c r="B66" s="39"/>
      <c r="C66" s="39"/>
      <c r="D66" s="39" t="s">
        <v>10</v>
      </c>
      <c r="E66" s="39" t="s">
        <v>20</v>
      </c>
      <c r="F66" s="39" t="s">
        <v>10</v>
      </c>
      <c r="G66" s="39" t="s">
        <v>19</v>
      </c>
      <c r="H66" s="39" t="s">
        <v>10</v>
      </c>
      <c r="I66" s="39" t="s">
        <v>18</v>
      </c>
      <c r="J66" s="39" t="s">
        <v>11</v>
      </c>
      <c r="K66" s="39" t="s">
        <v>10</v>
      </c>
      <c r="L66" s="39" t="s">
        <v>12</v>
      </c>
      <c r="M66" s="39" t="s">
        <v>10</v>
      </c>
      <c r="N66" s="39" t="s">
        <v>10</v>
      </c>
      <c r="O66" s="39" t="s">
        <v>10</v>
      </c>
      <c r="P66" s="39" t="s">
        <v>10</v>
      </c>
      <c r="Q66" s="39" t="s">
        <v>10</v>
      </c>
      <c r="R66" s="40" t="s">
        <v>24</v>
      </c>
      <c r="S66" s="41" t="s">
        <v>33</v>
      </c>
      <c r="T66" s="42">
        <f>T70+T76+T81+T85+T89+T93+T97+T101+T105+T109+T113+T149+T117+T122+T126+T131+T135+T139+T144+T153+T157+T161+T165+T169+T173+T177+T181+T185+T189+T196+T200+T204+T208+T212+T216+T223+T227+T231+T235+T239+T243+T247</f>
        <v>1555404.5999999996</v>
      </c>
      <c r="U66" s="42">
        <f>U70+U76+U81+U85+U89+U93+U97+U101+U105+U109+U113+U149+U117+U122+U126+U131+U135+U139+U144+U153+U157+U161+U165+U169+U173+U177+U181+U185+U189+U196+U200+U204+U208+U212+U216+U223+U227+U231+U235+U239+U243+U247</f>
        <v>990213.00000000023</v>
      </c>
      <c r="V66" s="42">
        <f>V70+V76+V81+V85+V89+V93+V97+V101+V105+V109+V113+V149+V117+V122+V126+V131+V135+V139+V144+V153+V157+V161+V165+V169+V173+V177+V181+V185+V189+V196+V200+V204+V208+V212+V216+V223+V227+V231+V235+V239+V243+V247+V251+V255+V259</f>
        <v>1130200.1000000003</v>
      </c>
      <c r="W66" s="42">
        <f>W70+W76+W81+W85+W189+W216+W223+W227+W231+W235+W259+W266+W270+W274+W278+W282+W286+W290+W294+W298+W302+W306+W310</f>
        <v>1287158.4000000001</v>
      </c>
      <c r="X66" s="42">
        <f>X70+X76+X81+X85+X89+X93+X97+X101+X105+X109+X113+X149+X117+X122+X126+X131+X135+X139+X144+X153+X157+X161+X165+X169+X173+X177+X181+X185+X189+X196+X200+X204+X208+X212+X216+X223+X227+X231+X235+X239+X243+X247+X310+X315</f>
        <v>208818.5</v>
      </c>
      <c r="Y66" s="42">
        <f>Y70+Y76+Y81+Y266</f>
        <v>208818.5</v>
      </c>
      <c r="Z66" s="42">
        <f>T66+U66+V66+W66+X66+Y66</f>
        <v>5380613.1000000006</v>
      </c>
      <c r="AA66" s="41">
        <v>2026</v>
      </c>
      <c r="AB66" s="86"/>
      <c r="AC66" s="15"/>
      <c r="AD66" s="15"/>
      <c r="AE66" s="16"/>
      <c r="AF66" s="16"/>
    </row>
    <row r="67" spans="1:32" s="2" customFormat="1" ht="44.25" x14ac:dyDescent="0.25">
      <c r="A67" s="13"/>
      <c r="B67" s="13"/>
      <c r="C67" s="13"/>
      <c r="D67" s="13"/>
      <c r="E67" s="13"/>
      <c r="F67" s="13"/>
      <c r="G67" s="13"/>
      <c r="H67" s="13"/>
      <c r="I67" s="14"/>
      <c r="J67" s="13"/>
      <c r="K67" s="13"/>
      <c r="L67" s="13"/>
      <c r="M67" s="13"/>
      <c r="N67" s="13"/>
      <c r="O67" s="13"/>
      <c r="P67" s="13"/>
      <c r="Q67" s="13"/>
      <c r="R67" s="12" t="s">
        <v>58</v>
      </c>
      <c r="S67" s="6" t="s">
        <v>34</v>
      </c>
      <c r="T67" s="5"/>
      <c r="U67" s="107"/>
      <c r="V67" s="60">
        <f>V258</f>
        <v>2.4129999999999998</v>
      </c>
      <c r="W67" s="60">
        <f>W269</f>
        <v>21.141999999999999</v>
      </c>
      <c r="X67" s="60">
        <f>X72</f>
        <v>0.2</v>
      </c>
      <c r="Y67" s="60">
        <f>Y72+Y269</f>
        <v>22.324999999999999</v>
      </c>
      <c r="Z67" s="61">
        <f t="shared" ref="Z67:Z72" si="11">T67+U67+V67+W67+X67+Y67</f>
        <v>46.08</v>
      </c>
      <c r="AA67" s="6">
        <v>2026</v>
      </c>
      <c r="AB67" s="75"/>
      <c r="AC67" s="15"/>
      <c r="AD67" s="15"/>
      <c r="AE67" s="16"/>
      <c r="AF67" s="16"/>
    </row>
    <row r="68" spans="1:32" s="2" customFormat="1" ht="30" x14ac:dyDescent="0.25">
      <c r="A68" s="13"/>
      <c r="B68" s="13"/>
      <c r="C68" s="13"/>
      <c r="D68" s="13"/>
      <c r="E68" s="13"/>
      <c r="F68" s="13"/>
      <c r="G68" s="13"/>
      <c r="H68" s="13"/>
      <c r="I68" s="14"/>
      <c r="J68" s="13"/>
      <c r="K68" s="13"/>
      <c r="L68" s="13"/>
      <c r="M68" s="13"/>
      <c r="N68" s="13"/>
      <c r="O68" s="13"/>
      <c r="P68" s="13"/>
      <c r="Q68" s="13"/>
      <c r="R68" s="12" t="s">
        <v>59</v>
      </c>
      <c r="S68" s="6" t="s">
        <v>34</v>
      </c>
      <c r="T68" s="5">
        <f>T104+T108+T112+T121+T130+T134+T138+T143+T148</f>
        <v>13.38</v>
      </c>
      <c r="U68" s="5">
        <f>U73+U77+U152+U156+U160+U164+U168+U172</f>
        <v>15.555999999999999</v>
      </c>
      <c r="V68" s="60">
        <f>V73+V77+V180+V184+V188+V194+V199+V254+V221</f>
        <v>11.391999999999999</v>
      </c>
      <c r="W68" s="60">
        <f>W194+W226+W230+W234+W273+W277+W289+W293</f>
        <v>39.884999999999998</v>
      </c>
      <c r="X68" s="60">
        <f>X73+X77+X242+X246+X250+X313</f>
        <v>28.148000000000003</v>
      </c>
      <c r="Y68" s="60">
        <f>Y73+Y77</f>
        <v>10.1</v>
      </c>
      <c r="Z68" s="61">
        <v>124.527</v>
      </c>
      <c r="AA68" s="6">
        <v>2026</v>
      </c>
      <c r="AB68" s="128" t="s">
        <v>243</v>
      </c>
      <c r="AC68" s="15"/>
      <c r="AD68" s="15"/>
      <c r="AE68" s="16"/>
      <c r="AF68" s="16"/>
    </row>
    <row r="69" spans="1:32" s="2" customFormat="1" ht="45" x14ac:dyDescent="0.25">
      <c r="A69" s="13"/>
      <c r="B69" s="13"/>
      <c r="C69" s="13"/>
      <c r="D69" s="13"/>
      <c r="E69" s="13"/>
      <c r="F69" s="13"/>
      <c r="G69" s="13"/>
      <c r="H69" s="13"/>
      <c r="I69" s="14"/>
      <c r="J69" s="13"/>
      <c r="K69" s="13"/>
      <c r="L69" s="13"/>
      <c r="M69" s="13"/>
      <c r="N69" s="13"/>
      <c r="O69" s="13"/>
      <c r="P69" s="13"/>
      <c r="Q69" s="13"/>
      <c r="R69" s="7" t="s">
        <v>92</v>
      </c>
      <c r="S69" s="6" t="s">
        <v>2</v>
      </c>
      <c r="T69" s="60">
        <f>T84+T96+T100+T125+T129+T142+T147+T120</f>
        <v>69.394800000000004</v>
      </c>
      <c r="U69" s="60">
        <f>U74+U84</f>
        <v>53.3</v>
      </c>
      <c r="V69" s="60">
        <f>V84+V74+V211+V264</f>
        <v>19.381</v>
      </c>
      <c r="W69" s="60">
        <f>W84+W285+W297+W305+W309+W313</f>
        <v>5.1579999999999995</v>
      </c>
      <c r="X69" s="60">
        <f>X84+X318</f>
        <v>0.87600000000000011</v>
      </c>
      <c r="Y69" s="60">
        <f>Y84</f>
        <v>0.2</v>
      </c>
      <c r="Z69" s="61">
        <f t="shared" si="11"/>
        <v>148.3098</v>
      </c>
      <c r="AA69" s="6">
        <v>2026</v>
      </c>
      <c r="AB69" s="84"/>
      <c r="AC69" s="15"/>
      <c r="AD69" s="15"/>
      <c r="AE69" s="16"/>
      <c r="AF69" s="16"/>
    </row>
    <row r="70" spans="1:32" ht="30" x14ac:dyDescent="0.25">
      <c r="A70" s="21" t="s">
        <v>10</v>
      </c>
      <c r="B70" s="21" t="s">
        <v>11</v>
      </c>
      <c r="C70" s="21" t="s">
        <v>12</v>
      </c>
      <c r="D70" s="21" t="s">
        <v>10</v>
      </c>
      <c r="E70" s="21" t="s">
        <v>20</v>
      </c>
      <c r="F70" s="21" t="s">
        <v>10</v>
      </c>
      <c r="G70" s="21" t="s">
        <v>19</v>
      </c>
      <c r="H70" s="21" t="s">
        <v>10</v>
      </c>
      <c r="I70" s="21" t="s">
        <v>18</v>
      </c>
      <c r="J70" s="21" t="s">
        <v>11</v>
      </c>
      <c r="K70" s="21" t="s">
        <v>10</v>
      </c>
      <c r="L70" s="21" t="s">
        <v>12</v>
      </c>
      <c r="M70" s="21" t="s">
        <v>19</v>
      </c>
      <c r="N70" s="21" t="s">
        <v>19</v>
      </c>
      <c r="O70" s="21" t="s">
        <v>19</v>
      </c>
      <c r="P70" s="21" t="s">
        <v>19</v>
      </c>
      <c r="Q70" s="21" t="s">
        <v>19</v>
      </c>
      <c r="R70" s="44" t="s">
        <v>60</v>
      </c>
      <c r="S70" s="23" t="s">
        <v>33</v>
      </c>
      <c r="T70" s="25">
        <f>39180+2042-39960.1-129.8</f>
        <v>1132.1000000000015</v>
      </c>
      <c r="U70" s="25">
        <f>20838.6-10338.6+19996-1192-13982.1</f>
        <v>15321.9</v>
      </c>
      <c r="V70" s="25">
        <v>20590.5</v>
      </c>
      <c r="W70" s="25">
        <v>232.3</v>
      </c>
      <c r="X70" s="25">
        <v>7725.1</v>
      </c>
      <c r="Y70" s="25">
        <v>7725.1</v>
      </c>
      <c r="Z70" s="25">
        <f t="shared" si="11"/>
        <v>52727</v>
      </c>
      <c r="AA70" s="23">
        <v>2026</v>
      </c>
    </row>
    <row r="71" spans="1:32" ht="29.25" x14ac:dyDescent="0.25">
      <c r="A71" s="13"/>
      <c r="B71" s="13"/>
      <c r="C71" s="13"/>
      <c r="D71" s="13"/>
      <c r="E71" s="13"/>
      <c r="F71" s="13"/>
      <c r="G71" s="13"/>
      <c r="H71" s="13"/>
      <c r="I71" s="14"/>
      <c r="J71" s="13"/>
      <c r="K71" s="13"/>
      <c r="L71" s="13"/>
      <c r="M71" s="13"/>
      <c r="N71" s="13"/>
      <c r="O71" s="13"/>
      <c r="P71" s="13"/>
      <c r="Q71" s="13"/>
      <c r="R71" s="12" t="s">
        <v>100</v>
      </c>
      <c r="S71" s="100" t="s">
        <v>30</v>
      </c>
      <c r="T71" s="9">
        <v>1</v>
      </c>
      <c r="U71" s="9">
        <v>2</v>
      </c>
      <c r="V71" s="9">
        <v>10</v>
      </c>
      <c r="W71" s="9">
        <v>1</v>
      </c>
      <c r="X71" s="9">
        <v>1</v>
      </c>
      <c r="Y71" s="9">
        <v>1</v>
      </c>
      <c r="Z71" s="4">
        <f t="shared" si="11"/>
        <v>16</v>
      </c>
      <c r="AA71" s="6">
        <v>2026</v>
      </c>
    </row>
    <row r="72" spans="1:32" s="1" customFormat="1" ht="45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7" t="s">
        <v>111</v>
      </c>
      <c r="S72" s="6" t="s">
        <v>34</v>
      </c>
      <c r="T72" s="60"/>
      <c r="U72" s="107"/>
      <c r="V72" s="107"/>
      <c r="W72" s="107"/>
      <c r="X72" s="5">
        <v>0.2</v>
      </c>
      <c r="Y72" s="5">
        <v>0.2</v>
      </c>
      <c r="Z72" s="3">
        <f t="shared" si="11"/>
        <v>0.4</v>
      </c>
      <c r="AA72" s="6">
        <v>2026</v>
      </c>
      <c r="AB72" s="77"/>
      <c r="AC72" s="17"/>
      <c r="AD72" s="17"/>
    </row>
    <row r="73" spans="1:32" ht="30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7" t="s">
        <v>110</v>
      </c>
      <c r="S73" s="6" t="s">
        <v>34</v>
      </c>
      <c r="T73" s="5"/>
      <c r="U73" s="107"/>
      <c r="V73" s="107"/>
      <c r="W73" s="107"/>
      <c r="X73" s="5">
        <v>0.1</v>
      </c>
      <c r="Y73" s="5">
        <v>0.1</v>
      </c>
      <c r="Z73" s="3">
        <f t="shared" ref="Z73:Z79" si="12">T73+U73+V73+W73+X73+Y73</f>
        <v>0.2</v>
      </c>
      <c r="AA73" s="6">
        <v>2026</v>
      </c>
    </row>
    <row r="74" spans="1:32" ht="27.6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7" t="s">
        <v>114</v>
      </c>
      <c r="S74" s="6" t="s">
        <v>2</v>
      </c>
      <c r="T74" s="5"/>
      <c r="U74" s="109"/>
      <c r="V74" s="60">
        <v>0.78100000000000003</v>
      </c>
      <c r="W74" s="109"/>
      <c r="X74" s="109"/>
      <c r="Y74" s="60"/>
      <c r="Z74" s="61">
        <f>V74</f>
        <v>0.78100000000000003</v>
      </c>
      <c r="AA74" s="6">
        <v>2023</v>
      </c>
      <c r="AB74" s="72" t="s">
        <v>185</v>
      </c>
    </row>
    <row r="75" spans="1:32" s="16" customFormat="1" ht="29.25" x14ac:dyDescent="0.25">
      <c r="A75" s="13"/>
      <c r="B75" s="13"/>
      <c r="C75" s="13"/>
      <c r="D75" s="13"/>
      <c r="E75" s="13"/>
      <c r="F75" s="13"/>
      <c r="G75" s="13"/>
      <c r="H75" s="13"/>
      <c r="I75" s="14"/>
      <c r="J75" s="13"/>
      <c r="K75" s="13"/>
      <c r="L75" s="13"/>
      <c r="M75" s="13"/>
      <c r="N75" s="13"/>
      <c r="O75" s="13"/>
      <c r="P75" s="13"/>
      <c r="Q75" s="13"/>
      <c r="R75" s="12" t="s">
        <v>186</v>
      </c>
      <c r="S75" s="6" t="s">
        <v>1</v>
      </c>
      <c r="T75" s="5"/>
      <c r="U75" s="5">
        <v>51.4</v>
      </c>
      <c r="V75" s="5">
        <v>48.6</v>
      </c>
      <c r="W75" s="108"/>
      <c r="X75" s="108"/>
      <c r="Y75" s="9"/>
      <c r="Z75" s="3">
        <v>100</v>
      </c>
      <c r="AA75" s="8">
        <v>2023</v>
      </c>
      <c r="AB75" s="99"/>
      <c r="AC75" s="30"/>
      <c r="AD75" s="15"/>
    </row>
    <row r="76" spans="1:32" ht="30" x14ac:dyDescent="0.25">
      <c r="A76" s="21" t="s">
        <v>10</v>
      </c>
      <c r="B76" s="21" t="s">
        <v>11</v>
      </c>
      <c r="C76" s="21" t="s">
        <v>12</v>
      </c>
      <c r="D76" s="21" t="s">
        <v>10</v>
      </c>
      <c r="E76" s="21" t="s">
        <v>20</v>
      </c>
      <c r="F76" s="21" t="s">
        <v>10</v>
      </c>
      <c r="G76" s="21" t="s">
        <v>19</v>
      </c>
      <c r="H76" s="21" t="s">
        <v>10</v>
      </c>
      <c r="I76" s="21" t="s">
        <v>18</v>
      </c>
      <c r="J76" s="21" t="s">
        <v>11</v>
      </c>
      <c r="K76" s="21" t="s">
        <v>10</v>
      </c>
      <c r="L76" s="21" t="s">
        <v>12</v>
      </c>
      <c r="M76" s="21" t="s">
        <v>19</v>
      </c>
      <c r="N76" s="21" t="s">
        <v>19</v>
      </c>
      <c r="O76" s="21" t="s">
        <v>19</v>
      </c>
      <c r="P76" s="21" t="s">
        <v>19</v>
      </c>
      <c r="Q76" s="21" t="s">
        <v>19</v>
      </c>
      <c r="R76" s="22" t="s">
        <v>56</v>
      </c>
      <c r="S76" s="23" t="s">
        <v>33</v>
      </c>
      <c r="T76" s="25">
        <f>770.4+150+7000+500-553-1203.8</f>
        <v>6663.5999999999995</v>
      </c>
      <c r="U76" s="25">
        <f>19629.9-7136.5-1000+4312.2-2322.6</f>
        <v>13483.000000000002</v>
      </c>
      <c r="V76" s="25">
        <f>22997.7-13259-2837.5-2510</f>
        <v>4391.2000000000007</v>
      </c>
      <c r="W76" s="59"/>
      <c r="X76" s="25">
        <v>20000</v>
      </c>
      <c r="Y76" s="25">
        <v>20000</v>
      </c>
      <c r="Z76" s="25">
        <f t="shared" si="12"/>
        <v>64537.8</v>
      </c>
      <c r="AA76" s="23">
        <v>2026</v>
      </c>
      <c r="AC76" s="43"/>
    </row>
    <row r="77" spans="1:32" ht="30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7" t="s">
        <v>57</v>
      </c>
      <c r="S77" s="6" t="s">
        <v>39</v>
      </c>
      <c r="T77" s="5"/>
      <c r="U77" s="60">
        <v>1.2829999999999999</v>
      </c>
      <c r="V77" s="109"/>
      <c r="W77" s="107"/>
      <c r="X77" s="5">
        <v>10</v>
      </c>
      <c r="Y77" s="5">
        <v>10</v>
      </c>
      <c r="Z77" s="3">
        <f t="shared" si="12"/>
        <v>21.283000000000001</v>
      </c>
      <c r="AA77" s="6">
        <v>2026</v>
      </c>
    </row>
    <row r="78" spans="1:32" ht="27.6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7" t="s">
        <v>102</v>
      </c>
      <c r="S78" s="6" t="s">
        <v>1</v>
      </c>
      <c r="T78" s="5">
        <v>100</v>
      </c>
      <c r="U78" s="107"/>
      <c r="V78" s="107"/>
      <c r="W78" s="107"/>
      <c r="X78" s="5"/>
      <c r="Y78" s="107"/>
      <c r="Z78" s="3">
        <f t="shared" si="12"/>
        <v>100</v>
      </c>
      <c r="AA78" s="6">
        <v>2021</v>
      </c>
    </row>
    <row r="79" spans="1:32" s="1" customFormat="1" ht="30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7" t="s">
        <v>113</v>
      </c>
      <c r="S79" s="6" t="s">
        <v>15</v>
      </c>
      <c r="T79" s="5">
        <v>182.4</v>
      </c>
      <c r="U79" s="107"/>
      <c r="V79" s="107"/>
      <c r="W79" s="107"/>
      <c r="X79" s="5"/>
      <c r="Y79" s="107"/>
      <c r="Z79" s="3">
        <f t="shared" si="12"/>
        <v>182.4</v>
      </c>
      <c r="AA79" s="6">
        <v>2021</v>
      </c>
      <c r="AB79" s="72"/>
      <c r="AC79" s="17"/>
      <c r="AD79" s="17"/>
    </row>
    <row r="80" spans="1:32" ht="27.6" customHeight="1" x14ac:dyDescent="0.25">
      <c r="A80" s="13"/>
      <c r="B80" s="13"/>
      <c r="C80" s="13"/>
      <c r="D80" s="13"/>
      <c r="E80" s="13"/>
      <c r="F80" s="13"/>
      <c r="G80" s="13"/>
      <c r="H80" s="13"/>
      <c r="I80" s="14"/>
      <c r="J80" s="13"/>
      <c r="K80" s="13"/>
      <c r="L80" s="13"/>
      <c r="M80" s="13"/>
      <c r="N80" s="13"/>
      <c r="O80" s="13"/>
      <c r="P80" s="13"/>
      <c r="Q80" s="13"/>
      <c r="R80" s="12" t="s">
        <v>174</v>
      </c>
      <c r="S80" s="100" t="s">
        <v>30</v>
      </c>
      <c r="T80" s="9"/>
      <c r="U80" s="108"/>
      <c r="V80" s="9">
        <v>2</v>
      </c>
      <c r="W80" s="108"/>
      <c r="X80" s="9">
        <v>1</v>
      </c>
      <c r="Y80" s="9">
        <v>1</v>
      </c>
      <c r="Z80" s="4">
        <f>T80+U80+V80+W80+X80+Y80</f>
        <v>4</v>
      </c>
      <c r="AA80" s="6">
        <v>2026</v>
      </c>
    </row>
    <row r="81" spans="1:32" ht="22.15" customHeight="1" x14ac:dyDescent="0.25">
      <c r="A81" s="21" t="s">
        <v>10</v>
      </c>
      <c r="B81" s="21" t="s">
        <v>11</v>
      </c>
      <c r="C81" s="21" t="s">
        <v>12</v>
      </c>
      <c r="D81" s="21" t="s">
        <v>10</v>
      </c>
      <c r="E81" s="21" t="s">
        <v>20</v>
      </c>
      <c r="F81" s="21" t="s">
        <v>10</v>
      </c>
      <c r="G81" s="21" t="s">
        <v>19</v>
      </c>
      <c r="H81" s="21" t="s">
        <v>10</v>
      </c>
      <c r="I81" s="21" t="s">
        <v>18</v>
      </c>
      <c r="J81" s="21" t="s">
        <v>11</v>
      </c>
      <c r="K81" s="21" t="s">
        <v>10</v>
      </c>
      <c r="L81" s="21" t="s">
        <v>10</v>
      </c>
      <c r="M81" s="21" t="s">
        <v>10</v>
      </c>
      <c r="N81" s="21" t="s">
        <v>10</v>
      </c>
      <c r="O81" s="21" t="s">
        <v>10</v>
      </c>
      <c r="P81" s="21" t="s">
        <v>10</v>
      </c>
      <c r="Q81" s="21" t="s">
        <v>10</v>
      </c>
      <c r="R81" s="141" t="s">
        <v>137</v>
      </c>
      <c r="S81" s="144" t="s">
        <v>33</v>
      </c>
      <c r="T81" s="25">
        <f>T82+T83</f>
        <v>1210441.0999999999</v>
      </c>
      <c r="U81" s="25">
        <f>U82+U83</f>
        <v>854921.1</v>
      </c>
      <c r="V81" s="25">
        <f>V82+V83</f>
        <v>851376.1</v>
      </c>
      <c r="W81" s="25">
        <f>W82+W83</f>
        <v>856215.1</v>
      </c>
      <c r="X81" s="25">
        <f>X82+X83</f>
        <v>13712.900000000001</v>
      </c>
      <c r="Y81" s="25">
        <v>16712.900000000001</v>
      </c>
      <c r="Z81" s="25">
        <f t="shared" ref="Z81:Z85" si="13">T81+U81+V81+W81+X81+Y81</f>
        <v>3803379.1999999997</v>
      </c>
      <c r="AA81" s="23">
        <v>2026</v>
      </c>
      <c r="AB81" s="101"/>
    </row>
    <row r="82" spans="1:32" ht="18" customHeight="1" x14ac:dyDescent="0.25">
      <c r="A82" s="21" t="s">
        <v>10</v>
      </c>
      <c r="B82" s="21" t="s">
        <v>11</v>
      </c>
      <c r="C82" s="21" t="s">
        <v>12</v>
      </c>
      <c r="D82" s="21" t="s">
        <v>10</v>
      </c>
      <c r="E82" s="21" t="s">
        <v>20</v>
      </c>
      <c r="F82" s="21" t="s">
        <v>10</v>
      </c>
      <c r="G82" s="21" t="s">
        <v>19</v>
      </c>
      <c r="H82" s="21" t="s">
        <v>10</v>
      </c>
      <c r="I82" s="21" t="s">
        <v>18</v>
      </c>
      <c r="J82" s="21" t="s">
        <v>11</v>
      </c>
      <c r="K82" s="21" t="s">
        <v>45</v>
      </c>
      <c r="L82" s="21" t="s">
        <v>11</v>
      </c>
      <c r="M82" s="21" t="s">
        <v>10</v>
      </c>
      <c r="N82" s="21" t="s">
        <v>10</v>
      </c>
      <c r="O82" s="21" t="s">
        <v>19</v>
      </c>
      <c r="P82" s="21" t="s">
        <v>21</v>
      </c>
      <c r="Q82" s="21" t="s">
        <v>12</v>
      </c>
      <c r="R82" s="142"/>
      <c r="S82" s="145"/>
      <c r="T82" s="24">
        <f>25805.5+12251.5-556.4-193-100-150-310-490-150-800+4439.1-798.2-8660.3-1635.5</f>
        <v>28652.7</v>
      </c>
      <c r="U82" s="24">
        <f>25805.5+1399.9-3200-6681.6-2402.7</f>
        <v>14921.100000000002</v>
      </c>
      <c r="V82" s="24">
        <v>11376.1</v>
      </c>
      <c r="W82" s="24">
        <f>18000-784.9-1000</f>
        <v>16215.099999999999</v>
      </c>
      <c r="X82" s="24">
        <f>16712.9-3000</f>
        <v>13712.900000000001</v>
      </c>
      <c r="Y82" s="24">
        <v>16712.900000000001</v>
      </c>
      <c r="Z82" s="25">
        <f t="shared" si="13"/>
        <v>101590.79999999999</v>
      </c>
      <c r="AA82" s="23">
        <v>2026</v>
      </c>
      <c r="AB82" s="77"/>
    </row>
    <row r="83" spans="1:32" s="1" customFormat="1" ht="19.5" customHeight="1" x14ac:dyDescent="0.25">
      <c r="A83" s="21" t="s">
        <v>10</v>
      </c>
      <c r="B83" s="21" t="s">
        <v>11</v>
      </c>
      <c r="C83" s="21" t="s">
        <v>12</v>
      </c>
      <c r="D83" s="21" t="s">
        <v>10</v>
      </c>
      <c r="E83" s="21" t="s">
        <v>20</v>
      </c>
      <c r="F83" s="21" t="s">
        <v>10</v>
      </c>
      <c r="G83" s="21" t="s">
        <v>19</v>
      </c>
      <c r="H83" s="21" t="s">
        <v>10</v>
      </c>
      <c r="I83" s="21" t="s">
        <v>18</v>
      </c>
      <c r="J83" s="21" t="s">
        <v>11</v>
      </c>
      <c r="K83" s="21" t="s">
        <v>45</v>
      </c>
      <c r="L83" s="21" t="s">
        <v>11</v>
      </c>
      <c r="M83" s="21" t="s">
        <v>17</v>
      </c>
      <c r="N83" s="21" t="s">
        <v>21</v>
      </c>
      <c r="O83" s="21" t="s">
        <v>19</v>
      </c>
      <c r="P83" s="21" t="s">
        <v>21</v>
      </c>
      <c r="Q83" s="21" t="s">
        <v>12</v>
      </c>
      <c r="R83" s="143"/>
      <c r="S83" s="146"/>
      <c r="T83" s="24">
        <f>(672000+17906+421560+11232.9)+57555.8+1533.7</f>
        <v>1181788.3999999999</v>
      </c>
      <c r="U83" s="24">
        <v>840000</v>
      </c>
      <c r="V83" s="24">
        <v>840000</v>
      </c>
      <c r="W83" s="24">
        <f>798000+42000</f>
        <v>840000</v>
      </c>
      <c r="X83" s="24"/>
      <c r="Y83" s="24"/>
      <c r="Z83" s="25">
        <f t="shared" si="13"/>
        <v>3701788.4</v>
      </c>
      <c r="AA83" s="23">
        <v>2024</v>
      </c>
      <c r="AB83" s="72"/>
      <c r="AC83" s="17"/>
      <c r="AD83" s="17"/>
    </row>
    <row r="84" spans="1:32" s="20" customFormat="1" ht="45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7" t="s">
        <v>61</v>
      </c>
      <c r="S84" s="6" t="s">
        <v>2</v>
      </c>
      <c r="T84" s="60">
        <v>62.131999999999998</v>
      </c>
      <c r="U84" s="60">
        <v>53.3</v>
      </c>
      <c r="V84" s="60">
        <v>17.600000000000001</v>
      </c>
      <c r="W84" s="60">
        <v>3.9809999999999999</v>
      </c>
      <c r="X84" s="5">
        <v>0.2</v>
      </c>
      <c r="Y84" s="5">
        <v>0.2</v>
      </c>
      <c r="Z84" s="60">
        <f t="shared" si="13"/>
        <v>137.41299999999995</v>
      </c>
      <c r="AA84" s="6">
        <v>2026</v>
      </c>
      <c r="AB84" s="72"/>
      <c r="AC84" s="15"/>
      <c r="AD84" s="15"/>
      <c r="AE84" s="16"/>
      <c r="AF84" s="16"/>
    </row>
    <row r="85" spans="1:32" ht="29.25" customHeight="1" x14ac:dyDescent="0.25">
      <c r="A85" s="21" t="s">
        <v>10</v>
      </c>
      <c r="B85" s="21" t="s">
        <v>11</v>
      </c>
      <c r="C85" s="21" t="s">
        <v>12</v>
      </c>
      <c r="D85" s="21" t="s">
        <v>10</v>
      </c>
      <c r="E85" s="21" t="s">
        <v>20</v>
      </c>
      <c r="F85" s="21" t="s">
        <v>10</v>
      </c>
      <c r="G85" s="21" t="s">
        <v>19</v>
      </c>
      <c r="H85" s="21" t="s">
        <v>10</v>
      </c>
      <c r="I85" s="21" t="s">
        <v>18</v>
      </c>
      <c r="J85" s="21" t="s">
        <v>11</v>
      </c>
      <c r="K85" s="21" t="s">
        <v>10</v>
      </c>
      <c r="L85" s="21" t="s">
        <v>12</v>
      </c>
      <c r="M85" s="21" t="s">
        <v>10</v>
      </c>
      <c r="N85" s="21" t="s">
        <v>10</v>
      </c>
      <c r="O85" s="21" t="s">
        <v>10</v>
      </c>
      <c r="P85" s="21" t="s">
        <v>10</v>
      </c>
      <c r="Q85" s="21" t="s">
        <v>10</v>
      </c>
      <c r="R85" s="141" t="s">
        <v>109</v>
      </c>
      <c r="S85" s="144" t="s">
        <v>33</v>
      </c>
      <c r="T85" s="25">
        <f>T86</f>
        <v>8335.2999999999993</v>
      </c>
      <c r="U85" s="25">
        <f t="shared" ref="U85:V85" si="14">U86</f>
        <v>2864.7999999999997</v>
      </c>
      <c r="V85" s="25">
        <f t="shared" si="14"/>
        <v>10486.4</v>
      </c>
      <c r="W85" s="25">
        <f>W87</f>
        <v>11440</v>
      </c>
      <c r="X85" s="25">
        <f>X87</f>
        <v>3000</v>
      </c>
      <c r="Y85" s="59"/>
      <c r="Z85" s="25">
        <f t="shared" si="13"/>
        <v>36126.5</v>
      </c>
      <c r="AA85" s="23">
        <v>2025</v>
      </c>
      <c r="AB85" s="96"/>
      <c r="AC85" s="43"/>
    </row>
    <row r="86" spans="1:32" ht="36" customHeight="1" x14ac:dyDescent="0.25">
      <c r="A86" s="21" t="s">
        <v>10</v>
      </c>
      <c r="B86" s="21" t="s">
        <v>11</v>
      </c>
      <c r="C86" s="21" t="s">
        <v>12</v>
      </c>
      <c r="D86" s="21" t="s">
        <v>10</v>
      </c>
      <c r="E86" s="21" t="s">
        <v>20</v>
      </c>
      <c r="F86" s="21" t="s">
        <v>10</v>
      </c>
      <c r="G86" s="21" t="s">
        <v>19</v>
      </c>
      <c r="H86" s="21" t="s">
        <v>10</v>
      </c>
      <c r="I86" s="21" t="s">
        <v>18</v>
      </c>
      <c r="J86" s="21" t="s">
        <v>11</v>
      </c>
      <c r="K86" s="21" t="s">
        <v>10</v>
      </c>
      <c r="L86" s="21" t="s">
        <v>12</v>
      </c>
      <c r="M86" s="21" t="s">
        <v>10</v>
      </c>
      <c r="N86" s="21" t="s">
        <v>10</v>
      </c>
      <c r="O86" s="21" t="s">
        <v>18</v>
      </c>
      <c r="P86" s="21" t="s">
        <v>17</v>
      </c>
      <c r="Q86" s="21" t="s">
        <v>11</v>
      </c>
      <c r="R86" s="142"/>
      <c r="S86" s="145"/>
      <c r="T86" s="24">
        <f>360+120.4+3210+490+2354+310+291+150+672.9+100+67.3+100+109.7</f>
        <v>8335.2999999999993</v>
      </c>
      <c r="U86" s="24">
        <f>2842+722.5+2096.5-1005.3-1790.9</f>
        <v>2864.7999999999997</v>
      </c>
      <c r="V86" s="24">
        <f>10619.9-133.5</f>
        <v>10486.4</v>
      </c>
      <c r="W86" s="25"/>
      <c r="X86" s="25"/>
      <c r="Y86" s="59"/>
      <c r="Z86" s="25">
        <f t="shared" ref="Z86:Z87" si="15">T86+U86+V86+W86+X86+Y86</f>
        <v>21686.5</v>
      </c>
      <c r="AA86" s="23">
        <v>2023</v>
      </c>
      <c r="AB86" s="25"/>
      <c r="AC86" s="43"/>
    </row>
    <row r="87" spans="1:32" ht="32.25" customHeight="1" x14ac:dyDescent="0.25">
      <c r="A87" s="21" t="s">
        <v>10</v>
      </c>
      <c r="B87" s="21" t="s">
        <v>11</v>
      </c>
      <c r="C87" s="21" t="s">
        <v>12</v>
      </c>
      <c r="D87" s="21" t="s">
        <v>10</v>
      </c>
      <c r="E87" s="21" t="s">
        <v>20</v>
      </c>
      <c r="F87" s="21" t="s">
        <v>10</v>
      </c>
      <c r="G87" s="21" t="s">
        <v>19</v>
      </c>
      <c r="H87" s="21" t="s">
        <v>10</v>
      </c>
      <c r="I87" s="21" t="s">
        <v>18</v>
      </c>
      <c r="J87" s="21" t="s">
        <v>11</v>
      </c>
      <c r="K87" s="21" t="s">
        <v>10</v>
      </c>
      <c r="L87" s="21" t="s">
        <v>12</v>
      </c>
      <c r="M87" s="21" t="s">
        <v>10</v>
      </c>
      <c r="N87" s="21" t="s">
        <v>10</v>
      </c>
      <c r="O87" s="21" t="s">
        <v>11</v>
      </c>
      <c r="P87" s="21" t="s">
        <v>17</v>
      </c>
      <c r="Q87" s="21" t="s">
        <v>11</v>
      </c>
      <c r="R87" s="143"/>
      <c r="S87" s="146"/>
      <c r="T87" s="25"/>
      <c r="U87" s="25"/>
      <c r="V87" s="25"/>
      <c r="W87" s="24">
        <f>8972.4-32.4+2500</f>
        <v>11440</v>
      </c>
      <c r="X87" s="24">
        <v>3000</v>
      </c>
      <c r="Y87" s="59"/>
      <c r="Z87" s="25">
        <f t="shared" si="15"/>
        <v>14440</v>
      </c>
      <c r="AA87" s="23">
        <v>2025</v>
      </c>
      <c r="AB87" s="96"/>
      <c r="AC87" s="43"/>
    </row>
    <row r="88" spans="1:32" s="1" customFormat="1" ht="30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7" t="s">
        <v>175</v>
      </c>
      <c r="S88" s="58" t="s">
        <v>1</v>
      </c>
      <c r="T88" s="5">
        <v>100</v>
      </c>
      <c r="U88" s="5">
        <v>100</v>
      </c>
      <c r="V88" s="5">
        <v>100</v>
      </c>
      <c r="W88" s="5">
        <v>100</v>
      </c>
      <c r="X88" s="5">
        <v>100</v>
      </c>
      <c r="Y88" s="107"/>
      <c r="Z88" s="3">
        <f>T88</f>
        <v>100</v>
      </c>
      <c r="AA88" s="6">
        <v>2025</v>
      </c>
      <c r="AB88" s="78"/>
      <c r="AC88" s="17"/>
      <c r="AD88" s="17"/>
    </row>
    <row r="89" spans="1:32" ht="21" customHeight="1" x14ac:dyDescent="0.25">
      <c r="A89" s="21" t="s">
        <v>10</v>
      </c>
      <c r="B89" s="21" t="s">
        <v>11</v>
      </c>
      <c r="C89" s="21" t="s">
        <v>12</v>
      </c>
      <c r="D89" s="21" t="s">
        <v>10</v>
      </c>
      <c r="E89" s="21" t="s">
        <v>20</v>
      </c>
      <c r="F89" s="21" t="s">
        <v>10</v>
      </c>
      <c r="G89" s="21" t="s">
        <v>19</v>
      </c>
      <c r="H89" s="21" t="s">
        <v>10</v>
      </c>
      <c r="I89" s="21" t="s">
        <v>18</v>
      </c>
      <c r="J89" s="21" t="s">
        <v>11</v>
      </c>
      <c r="K89" s="21" t="s">
        <v>10</v>
      </c>
      <c r="L89" s="21" t="s">
        <v>12</v>
      </c>
      <c r="M89" s="21" t="s">
        <v>10</v>
      </c>
      <c r="N89" s="21" t="s">
        <v>10</v>
      </c>
      <c r="O89" s="21" t="s">
        <v>10</v>
      </c>
      <c r="P89" s="21" t="s">
        <v>10</v>
      </c>
      <c r="Q89" s="21" t="s">
        <v>10</v>
      </c>
      <c r="R89" s="141" t="s">
        <v>105</v>
      </c>
      <c r="S89" s="144" t="s">
        <v>33</v>
      </c>
      <c r="T89" s="25">
        <f>T90+T91</f>
        <v>6045.3000000000011</v>
      </c>
      <c r="U89" s="59"/>
      <c r="V89" s="59"/>
      <c r="W89" s="59"/>
      <c r="X89" s="59"/>
      <c r="Y89" s="59"/>
      <c r="Z89" s="25">
        <f t="shared" ref="Z89:Z116" si="16">T89+U89+V89+W89+X89+Y89</f>
        <v>6045.3000000000011</v>
      </c>
      <c r="AA89" s="23">
        <v>2021</v>
      </c>
      <c r="AB89" s="78"/>
      <c r="AC89" s="43"/>
    </row>
    <row r="90" spans="1:32" ht="18.75" customHeight="1" x14ac:dyDescent="0.25">
      <c r="A90" s="21" t="s">
        <v>10</v>
      </c>
      <c r="B90" s="21" t="s">
        <v>11</v>
      </c>
      <c r="C90" s="21" t="s">
        <v>12</v>
      </c>
      <c r="D90" s="21" t="s">
        <v>10</v>
      </c>
      <c r="E90" s="21" t="s">
        <v>20</v>
      </c>
      <c r="F90" s="21" t="s">
        <v>10</v>
      </c>
      <c r="G90" s="21" t="s">
        <v>19</v>
      </c>
      <c r="H90" s="21" t="s">
        <v>10</v>
      </c>
      <c r="I90" s="21" t="s">
        <v>18</v>
      </c>
      <c r="J90" s="21" t="s">
        <v>11</v>
      </c>
      <c r="K90" s="21" t="s">
        <v>10</v>
      </c>
      <c r="L90" s="21" t="s">
        <v>12</v>
      </c>
      <c r="M90" s="21" t="s">
        <v>40</v>
      </c>
      <c r="N90" s="21" t="s">
        <v>10</v>
      </c>
      <c r="O90" s="21" t="s">
        <v>18</v>
      </c>
      <c r="P90" s="21" t="s">
        <v>17</v>
      </c>
      <c r="Q90" s="21" t="s">
        <v>11</v>
      </c>
      <c r="R90" s="142"/>
      <c r="S90" s="145"/>
      <c r="T90" s="24">
        <f>2287.7-1078.6</f>
        <v>1209.0999999999999</v>
      </c>
      <c r="U90" s="56"/>
      <c r="V90" s="56"/>
      <c r="W90" s="56"/>
      <c r="X90" s="56"/>
      <c r="Y90" s="56"/>
      <c r="Z90" s="25">
        <f t="shared" si="16"/>
        <v>1209.0999999999999</v>
      </c>
      <c r="AA90" s="23">
        <v>2021</v>
      </c>
      <c r="AB90" s="79"/>
    </row>
    <row r="91" spans="1:32" ht="18" customHeight="1" x14ac:dyDescent="0.25">
      <c r="A91" s="21" t="s">
        <v>10</v>
      </c>
      <c r="B91" s="21" t="s">
        <v>11</v>
      </c>
      <c r="C91" s="21" t="s">
        <v>12</v>
      </c>
      <c r="D91" s="21" t="s">
        <v>10</v>
      </c>
      <c r="E91" s="21" t="s">
        <v>20</v>
      </c>
      <c r="F91" s="21" t="s">
        <v>10</v>
      </c>
      <c r="G91" s="21" t="s">
        <v>19</v>
      </c>
      <c r="H91" s="21" t="s">
        <v>10</v>
      </c>
      <c r="I91" s="21" t="s">
        <v>18</v>
      </c>
      <c r="J91" s="21" t="s">
        <v>11</v>
      </c>
      <c r="K91" s="21" t="s">
        <v>10</v>
      </c>
      <c r="L91" s="21" t="s">
        <v>12</v>
      </c>
      <c r="M91" s="21" t="s">
        <v>11</v>
      </c>
      <c r="N91" s="21" t="s">
        <v>10</v>
      </c>
      <c r="O91" s="21" t="s">
        <v>18</v>
      </c>
      <c r="P91" s="21" t="s">
        <v>17</v>
      </c>
      <c r="Q91" s="21" t="s">
        <v>11</v>
      </c>
      <c r="R91" s="143"/>
      <c r="S91" s="146"/>
      <c r="T91" s="24">
        <f>9150.7-4314.5</f>
        <v>4836.2000000000007</v>
      </c>
      <c r="U91" s="56"/>
      <c r="V91" s="56"/>
      <c r="W91" s="56"/>
      <c r="X91" s="56"/>
      <c r="Y91" s="56"/>
      <c r="Z91" s="25">
        <f t="shared" si="16"/>
        <v>4836.2000000000007</v>
      </c>
      <c r="AA91" s="23">
        <v>2021</v>
      </c>
      <c r="AB91" s="79"/>
    </row>
    <row r="92" spans="1:32" ht="33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7" t="s">
        <v>106</v>
      </c>
      <c r="S92" s="6" t="s">
        <v>15</v>
      </c>
      <c r="T92" s="81">
        <v>14.76</v>
      </c>
      <c r="U92" s="107"/>
      <c r="V92" s="107"/>
      <c r="W92" s="107"/>
      <c r="X92" s="107"/>
      <c r="Y92" s="107"/>
      <c r="Z92" s="67">
        <f t="shared" si="16"/>
        <v>14.76</v>
      </c>
      <c r="AA92" s="6">
        <v>2021</v>
      </c>
      <c r="AB92" s="77"/>
    </row>
    <row r="93" spans="1:32" ht="20.25" customHeight="1" x14ac:dyDescent="0.25">
      <c r="A93" s="21" t="s">
        <v>10</v>
      </c>
      <c r="B93" s="21" t="s">
        <v>11</v>
      </c>
      <c r="C93" s="21" t="s">
        <v>12</v>
      </c>
      <c r="D93" s="21" t="s">
        <v>10</v>
      </c>
      <c r="E93" s="21" t="s">
        <v>20</v>
      </c>
      <c r="F93" s="21" t="s">
        <v>10</v>
      </c>
      <c r="G93" s="21" t="s">
        <v>19</v>
      </c>
      <c r="H93" s="21" t="s">
        <v>10</v>
      </c>
      <c r="I93" s="21" t="s">
        <v>18</v>
      </c>
      <c r="J93" s="21" t="s">
        <v>11</v>
      </c>
      <c r="K93" s="21" t="s">
        <v>10</v>
      </c>
      <c r="L93" s="21" t="s">
        <v>12</v>
      </c>
      <c r="M93" s="21" t="s">
        <v>10</v>
      </c>
      <c r="N93" s="21" t="s">
        <v>10</v>
      </c>
      <c r="O93" s="21" t="s">
        <v>10</v>
      </c>
      <c r="P93" s="21" t="s">
        <v>10</v>
      </c>
      <c r="Q93" s="21" t="s">
        <v>10</v>
      </c>
      <c r="R93" s="141" t="s">
        <v>118</v>
      </c>
      <c r="S93" s="144" t="s">
        <v>33</v>
      </c>
      <c r="T93" s="25">
        <f>T94+T95</f>
        <v>113538.2</v>
      </c>
      <c r="U93" s="59"/>
      <c r="V93" s="59"/>
      <c r="W93" s="59"/>
      <c r="X93" s="59"/>
      <c r="Y93" s="59"/>
      <c r="Z93" s="25">
        <f t="shared" si="16"/>
        <v>113538.2</v>
      </c>
      <c r="AA93" s="23">
        <v>2021</v>
      </c>
      <c r="AB93" s="78"/>
      <c r="AC93" s="43"/>
    </row>
    <row r="94" spans="1:32" ht="19.5" customHeight="1" x14ac:dyDescent="0.25">
      <c r="A94" s="21" t="s">
        <v>10</v>
      </c>
      <c r="B94" s="21" t="s">
        <v>11</v>
      </c>
      <c r="C94" s="21" t="s">
        <v>12</v>
      </c>
      <c r="D94" s="21" t="s">
        <v>10</v>
      </c>
      <c r="E94" s="21" t="s">
        <v>20</v>
      </c>
      <c r="F94" s="21" t="s">
        <v>10</v>
      </c>
      <c r="G94" s="21" t="s">
        <v>19</v>
      </c>
      <c r="H94" s="21" t="s">
        <v>10</v>
      </c>
      <c r="I94" s="21" t="s">
        <v>18</v>
      </c>
      <c r="J94" s="21" t="s">
        <v>11</v>
      </c>
      <c r="K94" s="21" t="s">
        <v>10</v>
      </c>
      <c r="L94" s="21" t="s">
        <v>12</v>
      </c>
      <c r="M94" s="21" t="s">
        <v>40</v>
      </c>
      <c r="N94" s="21" t="s">
        <v>10</v>
      </c>
      <c r="O94" s="21" t="s">
        <v>18</v>
      </c>
      <c r="P94" s="21" t="s">
        <v>17</v>
      </c>
      <c r="Q94" s="21" t="s">
        <v>11</v>
      </c>
      <c r="R94" s="142"/>
      <c r="S94" s="145"/>
      <c r="T94" s="24">
        <f>30000-7292.3</f>
        <v>22707.7</v>
      </c>
      <c r="U94" s="56"/>
      <c r="V94" s="56"/>
      <c r="W94" s="56"/>
      <c r="X94" s="56"/>
      <c r="Y94" s="56"/>
      <c r="Z94" s="25">
        <f t="shared" si="16"/>
        <v>22707.7</v>
      </c>
      <c r="AA94" s="23">
        <v>2021</v>
      </c>
      <c r="AB94" s="78"/>
    </row>
    <row r="95" spans="1:32" ht="22.5" customHeight="1" x14ac:dyDescent="0.25">
      <c r="A95" s="21" t="s">
        <v>10</v>
      </c>
      <c r="B95" s="21" t="s">
        <v>11</v>
      </c>
      <c r="C95" s="21" t="s">
        <v>12</v>
      </c>
      <c r="D95" s="21" t="s">
        <v>10</v>
      </c>
      <c r="E95" s="21" t="s">
        <v>20</v>
      </c>
      <c r="F95" s="21" t="s">
        <v>10</v>
      </c>
      <c r="G95" s="21" t="s">
        <v>19</v>
      </c>
      <c r="H95" s="21" t="s">
        <v>10</v>
      </c>
      <c r="I95" s="21" t="s">
        <v>18</v>
      </c>
      <c r="J95" s="21" t="s">
        <v>11</v>
      </c>
      <c r="K95" s="21" t="s">
        <v>10</v>
      </c>
      <c r="L95" s="21" t="s">
        <v>12</v>
      </c>
      <c r="M95" s="21" t="s">
        <v>11</v>
      </c>
      <c r="N95" s="21" t="s">
        <v>10</v>
      </c>
      <c r="O95" s="21" t="s">
        <v>18</v>
      </c>
      <c r="P95" s="21" t="s">
        <v>17</v>
      </c>
      <c r="Q95" s="21" t="s">
        <v>11</v>
      </c>
      <c r="R95" s="143"/>
      <c r="S95" s="146"/>
      <c r="T95" s="24">
        <f>120000-29169.5</f>
        <v>90830.5</v>
      </c>
      <c r="U95" s="56"/>
      <c r="V95" s="56"/>
      <c r="W95" s="56"/>
      <c r="X95" s="56"/>
      <c r="Y95" s="56"/>
      <c r="Z95" s="25">
        <f t="shared" si="16"/>
        <v>90830.5</v>
      </c>
      <c r="AA95" s="23">
        <v>2021</v>
      </c>
      <c r="AB95" s="78"/>
    </row>
    <row r="96" spans="1:32" ht="33.6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7" t="s">
        <v>107</v>
      </c>
      <c r="S96" s="6" t="s">
        <v>2</v>
      </c>
      <c r="T96" s="60">
        <v>3.79</v>
      </c>
      <c r="U96" s="109"/>
      <c r="V96" s="109"/>
      <c r="W96" s="109"/>
      <c r="X96" s="109"/>
      <c r="Y96" s="109"/>
      <c r="Z96" s="61">
        <f t="shared" si="16"/>
        <v>3.79</v>
      </c>
      <c r="AA96" s="6">
        <v>2021</v>
      </c>
      <c r="AB96" s="77"/>
    </row>
    <row r="97" spans="1:29" ht="21.75" customHeight="1" x14ac:dyDescent="0.25">
      <c r="A97" s="21" t="s">
        <v>10</v>
      </c>
      <c r="B97" s="21" t="s">
        <v>11</v>
      </c>
      <c r="C97" s="21" t="s">
        <v>12</v>
      </c>
      <c r="D97" s="21" t="s">
        <v>10</v>
      </c>
      <c r="E97" s="21" t="s">
        <v>20</v>
      </c>
      <c r="F97" s="21" t="s">
        <v>10</v>
      </c>
      <c r="G97" s="21" t="s">
        <v>19</v>
      </c>
      <c r="H97" s="21" t="s">
        <v>10</v>
      </c>
      <c r="I97" s="21" t="s">
        <v>18</v>
      </c>
      <c r="J97" s="21" t="s">
        <v>11</v>
      </c>
      <c r="K97" s="21" t="s">
        <v>10</v>
      </c>
      <c r="L97" s="21" t="s">
        <v>12</v>
      </c>
      <c r="M97" s="21" t="s">
        <v>10</v>
      </c>
      <c r="N97" s="21" t="s">
        <v>10</v>
      </c>
      <c r="O97" s="21" t="s">
        <v>10</v>
      </c>
      <c r="P97" s="21" t="s">
        <v>10</v>
      </c>
      <c r="Q97" s="21" t="s">
        <v>10</v>
      </c>
      <c r="R97" s="141" t="s">
        <v>123</v>
      </c>
      <c r="S97" s="144" t="s">
        <v>33</v>
      </c>
      <c r="T97" s="25">
        <f>T98+T99</f>
        <v>65282.5</v>
      </c>
      <c r="U97" s="59"/>
      <c r="V97" s="59"/>
      <c r="W97" s="59"/>
      <c r="X97" s="59"/>
      <c r="Y97" s="59"/>
      <c r="Z97" s="25">
        <f t="shared" si="16"/>
        <v>65282.5</v>
      </c>
      <c r="AA97" s="23">
        <v>2021</v>
      </c>
      <c r="AB97" s="78"/>
      <c r="AC97" s="43"/>
    </row>
    <row r="98" spans="1:29" ht="18" customHeight="1" x14ac:dyDescent="0.25">
      <c r="A98" s="21" t="s">
        <v>10</v>
      </c>
      <c r="B98" s="21" t="s">
        <v>11</v>
      </c>
      <c r="C98" s="21" t="s">
        <v>12</v>
      </c>
      <c r="D98" s="21" t="s">
        <v>10</v>
      </c>
      <c r="E98" s="21" t="s">
        <v>20</v>
      </c>
      <c r="F98" s="21" t="s">
        <v>10</v>
      </c>
      <c r="G98" s="21" t="s">
        <v>19</v>
      </c>
      <c r="H98" s="21" t="s">
        <v>10</v>
      </c>
      <c r="I98" s="21" t="s">
        <v>18</v>
      </c>
      <c r="J98" s="21" t="s">
        <v>11</v>
      </c>
      <c r="K98" s="21" t="s">
        <v>10</v>
      </c>
      <c r="L98" s="21" t="s">
        <v>12</v>
      </c>
      <c r="M98" s="21" t="s">
        <v>40</v>
      </c>
      <c r="N98" s="21" t="s">
        <v>10</v>
      </c>
      <c r="O98" s="21" t="s">
        <v>18</v>
      </c>
      <c r="P98" s="21" t="s">
        <v>17</v>
      </c>
      <c r="Q98" s="21" t="s">
        <v>11</v>
      </c>
      <c r="R98" s="142"/>
      <c r="S98" s="145"/>
      <c r="T98" s="24">
        <f>20771.8-12187.1-938.8</f>
        <v>7645.8999999999987</v>
      </c>
      <c r="U98" s="56"/>
      <c r="V98" s="56"/>
      <c r="W98" s="56"/>
      <c r="X98" s="56"/>
      <c r="Y98" s="56"/>
      <c r="Z98" s="25">
        <f t="shared" si="16"/>
        <v>7645.8999999999987</v>
      </c>
      <c r="AA98" s="23">
        <v>2021</v>
      </c>
      <c r="AB98" s="78"/>
    </row>
    <row r="99" spans="1:29" ht="18.75" customHeight="1" x14ac:dyDescent="0.25">
      <c r="A99" s="21" t="s">
        <v>10</v>
      </c>
      <c r="B99" s="21" t="s">
        <v>11</v>
      </c>
      <c r="C99" s="21" t="s">
        <v>12</v>
      </c>
      <c r="D99" s="21" t="s">
        <v>10</v>
      </c>
      <c r="E99" s="21" t="s">
        <v>20</v>
      </c>
      <c r="F99" s="21" t="s">
        <v>10</v>
      </c>
      <c r="G99" s="21" t="s">
        <v>19</v>
      </c>
      <c r="H99" s="21" t="s">
        <v>10</v>
      </c>
      <c r="I99" s="21" t="s">
        <v>18</v>
      </c>
      <c r="J99" s="21" t="s">
        <v>11</v>
      </c>
      <c r="K99" s="21" t="s">
        <v>10</v>
      </c>
      <c r="L99" s="21" t="s">
        <v>12</v>
      </c>
      <c r="M99" s="21" t="s">
        <v>11</v>
      </c>
      <c r="N99" s="21" t="s">
        <v>10</v>
      </c>
      <c r="O99" s="21" t="s">
        <v>18</v>
      </c>
      <c r="P99" s="21" t="s">
        <v>17</v>
      </c>
      <c r="Q99" s="21" t="s">
        <v>11</v>
      </c>
      <c r="R99" s="143"/>
      <c r="S99" s="146"/>
      <c r="T99" s="24">
        <f>83087-25450.4</f>
        <v>57636.6</v>
      </c>
      <c r="U99" s="56"/>
      <c r="V99" s="56"/>
      <c r="W99" s="56"/>
      <c r="X99" s="56"/>
      <c r="Y99" s="56"/>
      <c r="Z99" s="25">
        <f t="shared" si="16"/>
        <v>57636.6</v>
      </c>
      <c r="AA99" s="23">
        <v>2021</v>
      </c>
      <c r="AB99" s="78"/>
    </row>
    <row r="100" spans="1:29" ht="36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7" t="s">
        <v>107</v>
      </c>
      <c r="S100" s="6" t="s">
        <v>2</v>
      </c>
      <c r="T100" s="60">
        <v>1.6479999999999999</v>
      </c>
      <c r="U100" s="109"/>
      <c r="V100" s="109"/>
      <c r="W100" s="109"/>
      <c r="X100" s="109"/>
      <c r="Y100" s="109"/>
      <c r="Z100" s="61">
        <f t="shared" si="16"/>
        <v>1.6479999999999999</v>
      </c>
      <c r="AA100" s="6">
        <v>2021</v>
      </c>
      <c r="AB100" s="77"/>
    </row>
    <row r="101" spans="1:29" ht="18" customHeight="1" x14ac:dyDescent="0.25">
      <c r="A101" s="21" t="s">
        <v>10</v>
      </c>
      <c r="B101" s="21" t="s">
        <v>11</v>
      </c>
      <c r="C101" s="21" t="s">
        <v>12</v>
      </c>
      <c r="D101" s="21" t="s">
        <v>10</v>
      </c>
      <c r="E101" s="21" t="s">
        <v>20</v>
      </c>
      <c r="F101" s="21" t="s">
        <v>10</v>
      </c>
      <c r="G101" s="21" t="s">
        <v>19</v>
      </c>
      <c r="H101" s="21" t="s">
        <v>10</v>
      </c>
      <c r="I101" s="21" t="s">
        <v>18</v>
      </c>
      <c r="J101" s="21" t="s">
        <v>11</v>
      </c>
      <c r="K101" s="21" t="s">
        <v>10</v>
      </c>
      <c r="L101" s="21" t="s">
        <v>12</v>
      </c>
      <c r="M101" s="21" t="s">
        <v>10</v>
      </c>
      <c r="N101" s="21" t="s">
        <v>10</v>
      </c>
      <c r="O101" s="21" t="s">
        <v>10</v>
      </c>
      <c r="P101" s="21" t="s">
        <v>10</v>
      </c>
      <c r="Q101" s="21" t="s">
        <v>10</v>
      </c>
      <c r="R101" s="141" t="s">
        <v>119</v>
      </c>
      <c r="S101" s="144" t="s">
        <v>33</v>
      </c>
      <c r="T101" s="25">
        <f>T102+T103</f>
        <v>13410.3</v>
      </c>
      <c r="U101" s="59"/>
      <c r="V101" s="59"/>
      <c r="W101" s="59"/>
      <c r="X101" s="59"/>
      <c r="Y101" s="59"/>
      <c r="Z101" s="25">
        <f t="shared" si="16"/>
        <v>13410.3</v>
      </c>
      <c r="AA101" s="23">
        <v>2021</v>
      </c>
      <c r="AB101" s="78"/>
      <c r="AC101" s="43"/>
    </row>
    <row r="102" spans="1:29" ht="14.25" customHeight="1" x14ac:dyDescent="0.25">
      <c r="A102" s="21" t="s">
        <v>10</v>
      </c>
      <c r="B102" s="21" t="s">
        <v>11</v>
      </c>
      <c r="C102" s="21" t="s">
        <v>12</v>
      </c>
      <c r="D102" s="21" t="s">
        <v>10</v>
      </c>
      <c r="E102" s="21" t="s">
        <v>20</v>
      </c>
      <c r="F102" s="21" t="s">
        <v>10</v>
      </c>
      <c r="G102" s="21" t="s">
        <v>19</v>
      </c>
      <c r="H102" s="21" t="s">
        <v>10</v>
      </c>
      <c r="I102" s="21" t="s">
        <v>18</v>
      </c>
      <c r="J102" s="21" t="s">
        <v>11</v>
      </c>
      <c r="K102" s="21" t="s">
        <v>10</v>
      </c>
      <c r="L102" s="21" t="s">
        <v>12</v>
      </c>
      <c r="M102" s="21" t="s">
        <v>40</v>
      </c>
      <c r="N102" s="21" t="s">
        <v>10</v>
      </c>
      <c r="O102" s="21" t="s">
        <v>18</v>
      </c>
      <c r="P102" s="21" t="s">
        <v>17</v>
      </c>
      <c r="Q102" s="21" t="s">
        <v>11</v>
      </c>
      <c r="R102" s="142"/>
      <c r="S102" s="145"/>
      <c r="T102" s="24">
        <f>2720-189.7</f>
        <v>2530.3000000000002</v>
      </c>
      <c r="U102" s="56"/>
      <c r="V102" s="56"/>
      <c r="W102" s="56"/>
      <c r="X102" s="56"/>
      <c r="Y102" s="56"/>
      <c r="Z102" s="25">
        <f t="shared" si="16"/>
        <v>2530.3000000000002</v>
      </c>
      <c r="AA102" s="23">
        <v>2021</v>
      </c>
      <c r="AB102" s="78"/>
    </row>
    <row r="103" spans="1:29" ht="20.25" customHeight="1" x14ac:dyDescent="0.25">
      <c r="A103" s="21" t="s">
        <v>10</v>
      </c>
      <c r="B103" s="21" t="s">
        <v>11</v>
      </c>
      <c r="C103" s="21" t="s">
        <v>12</v>
      </c>
      <c r="D103" s="21" t="s">
        <v>10</v>
      </c>
      <c r="E103" s="21" t="s">
        <v>20</v>
      </c>
      <c r="F103" s="21" t="s">
        <v>10</v>
      </c>
      <c r="G103" s="21" t="s">
        <v>19</v>
      </c>
      <c r="H103" s="21" t="s">
        <v>10</v>
      </c>
      <c r="I103" s="21" t="s">
        <v>18</v>
      </c>
      <c r="J103" s="21" t="s">
        <v>11</v>
      </c>
      <c r="K103" s="21" t="s">
        <v>10</v>
      </c>
      <c r="L103" s="21" t="s">
        <v>12</v>
      </c>
      <c r="M103" s="21" t="s">
        <v>11</v>
      </c>
      <c r="N103" s="21" t="s">
        <v>10</v>
      </c>
      <c r="O103" s="21" t="s">
        <v>18</v>
      </c>
      <c r="P103" s="21" t="s">
        <v>17</v>
      </c>
      <c r="Q103" s="21" t="s">
        <v>11</v>
      </c>
      <c r="R103" s="143"/>
      <c r="S103" s="146"/>
      <c r="T103" s="24">
        <v>10880</v>
      </c>
      <c r="U103" s="56"/>
      <c r="V103" s="56"/>
      <c r="W103" s="56"/>
      <c r="X103" s="56"/>
      <c r="Y103" s="56"/>
      <c r="Z103" s="25">
        <f t="shared" si="16"/>
        <v>10880</v>
      </c>
      <c r="AA103" s="23">
        <v>2021</v>
      </c>
      <c r="AB103" s="78"/>
    </row>
    <row r="104" spans="1:29" ht="30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7" t="s">
        <v>57</v>
      </c>
      <c r="S104" s="6" t="s">
        <v>39</v>
      </c>
      <c r="T104" s="60">
        <v>1.9350000000000001</v>
      </c>
      <c r="U104" s="109"/>
      <c r="V104" s="109"/>
      <c r="W104" s="109"/>
      <c r="X104" s="109"/>
      <c r="Y104" s="109"/>
      <c r="Z104" s="61">
        <f t="shared" si="16"/>
        <v>1.9350000000000001</v>
      </c>
      <c r="AA104" s="6">
        <v>2021</v>
      </c>
      <c r="AB104" s="77"/>
    </row>
    <row r="105" spans="1:29" ht="18" customHeight="1" x14ac:dyDescent="0.25">
      <c r="A105" s="21" t="s">
        <v>10</v>
      </c>
      <c r="B105" s="21" t="s">
        <v>11</v>
      </c>
      <c r="C105" s="21" t="s">
        <v>12</v>
      </c>
      <c r="D105" s="21" t="s">
        <v>10</v>
      </c>
      <c r="E105" s="21" t="s">
        <v>20</v>
      </c>
      <c r="F105" s="21" t="s">
        <v>10</v>
      </c>
      <c r="G105" s="21" t="s">
        <v>19</v>
      </c>
      <c r="H105" s="21" t="s">
        <v>10</v>
      </c>
      <c r="I105" s="21" t="s">
        <v>18</v>
      </c>
      <c r="J105" s="21" t="s">
        <v>11</v>
      </c>
      <c r="K105" s="21" t="s">
        <v>10</v>
      </c>
      <c r="L105" s="21" t="s">
        <v>12</v>
      </c>
      <c r="M105" s="21" t="s">
        <v>10</v>
      </c>
      <c r="N105" s="21" t="s">
        <v>10</v>
      </c>
      <c r="O105" s="21" t="s">
        <v>10</v>
      </c>
      <c r="P105" s="21" t="s">
        <v>10</v>
      </c>
      <c r="Q105" s="21" t="s">
        <v>10</v>
      </c>
      <c r="R105" s="141" t="s">
        <v>117</v>
      </c>
      <c r="S105" s="144" t="s">
        <v>33</v>
      </c>
      <c r="T105" s="25">
        <f>T106+T107</f>
        <v>2816</v>
      </c>
      <c r="U105" s="59"/>
      <c r="V105" s="59"/>
      <c r="W105" s="59"/>
      <c r="X105" s="59"/>
      <c r="Y105" s="59"/>
      <c r="Z105" s="25">
        <f t="shared" si="16"/>
        <v>2816</v>
      </c>
      <c r="AA105" s="23">
        <v>2021</v>
      </c>
      <c r="AB105" s="78"/>
      <c r="AC105" s="43"/>
    </row>
    <row r="106" spans="1:29" ht="18.75" customHeight="1" x14ac:dyDescent="0.25">
      <c r="A106" s="21" t="s">
        <v>10</v>
      </c>
      <c r="B106" s="21" t="s">
        <v>11</v>
      </c>
      <c r="C106" s="21" t="s">
        <v>12</v>
      </c>
      <c r="D106" s="21" t="s">
        <v>10</v>
      </c>
      <c r="E106" s="21" t="s">
        <v>20</v>
      </c>
      <c r="F106" s="21" t="s">
        <v>10</v>
      </c>
      <c r="G106" s="21" t="s">
        <v>19</v>
      </c>
      <c r="H106" s="21" t="s">
        <v>10</v>
      </c>
      <c r="I106" s="21" t="s">
        <v>18</v>
      </c>
      <c r="J106" s="21" t="s">
        <v>11</v>
      </c>
      <c r="K106" s="21" t="s">
        <v>10</v>
      </c>
      <c r="L106" s="21" t="s">
        <v>12</v>
      </c>
      <c r="M106" s="21" t="s">
        <v>40</v>
      </c>
      <c r="N106" s="21" t="s">
        <v>10</v>
      </c>
      <c r="O106" s="21" t="s">
        <v>18</v>
      </c>
      <c r="P106" s="21" t="s">
        <v>17</v>
      </c>
      <c r="Q106" s="21" t="s">
        <v>11</v>
      </c>
      <c r="R106" s="142"/>
      <c r="S106" s="145"/>
      <c r="T106" s="24">
        <f>900-336.8</f>
        <v>563.20000000000005</v>
      </c>
      <c r="U106" s="56"/>
      <c r="V106" s="56"/>
      <c r="W106" s="56"/>
      <c r="X106" s="56"/>
      <c r="Y106" s="56"/>
      <c r="Z106" s="25">
        <f t="shared" si="16"/>
        <v>563.20000000000005</v>
      </c>
      <c r="AA106" s="23">
        <v>2021</v>
      </c>
      <c r="AB106" s="78"/>
    </row>
    <row r="107" spans="1:29" ht="27.6" customHeight="1" x14ac:dyDescent="0.25">
      <c r="A107" s="21" t="s">
        <v>10</v>
      </c>
      <c r="B107" s="21" t="s">
        <v>11</v>
      </c>
      <c r="C107" s="21" t="s">
        <v>12</v>
      </c>
      <c r="D107" s="21" t="s">
        <v>10</v>
      </c>
      <c r="E107" s="21" t="s">
        <v>20</v>
      </c>
      <c r="F107" s="21" t="s">
        <v>10</v>
      </c>
      <c r="G107" s="21" t="s">
        <v>19</v>
      </c>
      <c r="H107" s="21" t="s">
        <v>10</v>
      </c>
      <c r="I107" s="21" t="s">
        <v>18</v>
      </c>
      <c r="J107" s="21" t="s">
        <v>11</v>
      </c>
      <c r="K107" s="21" t="s">
        <v>10</v>
      </c>
      <c r="L107" s="21" t="s">
        <v>12</v>
      </c>
      <c r="M107" s="21" t="s">
        <v>11</v>
      </c>
      <c r="N107" s="21" t="s">
        <v>10</v>
      </c>
      <c r="O107" s="21" t="s">
        <v>18</v>
      </c>
      <c r="P107" s="21" t="s">
        <v>17</v>
      </c>
      <c r="Q107" s="21" t="s">
        <v>11</v>
      </c>
      <c r="R107" s="143"/>
      <c r="S107" s="146"/>
      <c r="T107" s="24">
        <f>3600-1347.2</f>
        <v>2252.8000000000002</v>
      </c>
      <c r="U107" s="56"/>
      <c r="V107" s="56"/>
      <c r="W107" s="56"/>
      <c r="X107" s="56"/>
      <c r="Y107" s="56"/>
      <c r="Z107" s="25">
        <f t="shared" si="16"/>
        <v>2252.8000000000002</v>
      </c>
      <c r="AA107" s="23">
        <v>2021</v>
      </c>
      <c r="AB107" s="78"/>
    </row>
    <row r="108" spans="1:29" ht="30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7" t="s">
        <v>57</v>
      </c>
      <c r="S108" s="6" t="s">
        <v>39</v>
      </c>
      <c r="T108" s="60">
        <v>0.317</v>
      </c>
      <c r="U108" s="109"/>
      <c r="V108" s="109"/>
      <c r="W108" s="109"/>
      <c r="X108" s="109"/>
      <c r="Y108" s="109"/>
      <c r="Z108" s="61">
        <f t="shared" si="16"/>
        <v>0.317</v>
      </c>
      <c r="AA108" s="6">
        <v>2021</v>
      </c>
      <c r="AB108" s="77"/>
    </row>
    <row r="109" spans="1:29" ht="21" customHeight="1" x14ac:dyDescent="0.25">
      <c r="A109" s="21" t="s">
        <v>10</v>
      </c>
      <c r="B109" s="21" t="s">
        <v>11</v>
      </c>
      <c r="C109" s="21" t="s">
        <v>12</v>
      </c>
      <c r="D109" s="21" t="s">
        <v>10</v>
      </c>
      <c r="E109" s="21" t="s">
        <v>20</v>
      </c>
      <c r="F109" s="21" t="s">
        <v>10</v>
      </c>
      <c r="G109" s="21" t="s">
        <v>19</v>
      </c>
      <c r="H109" s="21" t="s">
        <v>10</v>
      </c>
      <c r="I109" s="21" t="s">
        <v>18</v>
      </c>
      <c r="J109" s="21" t="s">
        <v>11</v>
      </c>
      <c r="K109" s="21" t="s">
        <v>10</v>
      </c>
      <c r="L109" s="21" t="s">
        <v>12</v>
      </c>
      <c r="M109" s="21" t="s">
        <v>10</v>
      </c>
      <c r="N109" s="21" t="s">
        <v>10</v>
      </c>
      <c r="O109" s="21" t="s">
        <v>10</v>
      </c>
      <c r="P109" s="21" t="s">
        <v>10</v>
      </c>
      <c r="Q109" s="21" t="s">
        <v>10</v>
      </c>
      <c r="R109" s="141" t="s">
        <v>120</v>
      </c>
      <c r="S109" s="144" t="s">
        <v>33</v>
      </c>
      <c r="T109" s="25">
        <f>T110+T111</f>
        <v>23558.899999999998</v>
      </c>
      <c r="U109" s="59"/>
      <c r="V109" s="59"/>
      <c r="W109" s="59"/>
      <c r="X109" s="59"/>
      <c r="Y109" s="59"/>
      <c r="Z109" s="25">
        <f t="shared" si="16"/>
        <v>23558.899999999998</v>
      </c>
      <c r="AA109" s="23">
        <v>2021</v>
      </c>
      <c r="AB109" s="78"/>
      <c r="AC109" s="43"/>
    </row>
    <row r="110" spans="1:29" ht="21" customHeight="1" x14ac:dyDescent="0.25">
      <c r="A110" s="21" t="s">
        <v>10</v>
      </c>
      <c r="B110" s="21" t="s">
        <v>11</v>
      </c>
      <c r="C110" s="21" t="s">
        <v>12</v>
      </c>
      <c r="D110" s="21" t="s">
        <v>10</v>
      </c>
      <c r="E110" s="21" t="s">
        <v>20</v>
      </c>
      <c r="F110" s="21" t="s">
        <v>10</v>
      </c>
      <c r="G110" s="21" t="s">
        <v>19</v>
      </c>
      <c r="H110" s="21" t="s">
        <v>10</v>
      </c>
      <c r="I110" s="21" t="s">
        <v>18</v>
      </c>
      <c r="J110" s="21" t="s">
        <v>11</v>
      </c>
      <c r="K110" s="21" t="s">
        <v>10</v>
      </c>
      <c r="L110" s="21" t="s">
        <v>12</v>
      </c>
      <c r="M110" s="21" t="s">
        <v>40</v>
      </c>
      <c r="N110" s="21" t="s">
        <v>10</v>
      </c>
      <c r="O110" s="21" t="s">
        <v>18</v>
      </c>
      <c r="P110" s="21" t="s">
        <v>17</v>
      </c>
      <c r="Q110" s="21" t="s">
        <v>11</v>
      </c>
      <c r="R110" s="142"/>
      <c r="S110" s="145"/>
      <c r="T110" s="24">
        <f>6288.6-1576.8</f>
        <v>4711.8</v>
      </c>
      <c r="U110" s="56"/>
      <c r="V110" s="56"/>
      <c r="W110" s="56"/>
      <c r="X110" s="56"/>
      <c r="Y110" s="56"/>
      <c r="Z110" s="25">
        <f t="shared" si="16"/>
        <v>4711.8</v>
      </c>
      <c r="AA110" s="23">
        <v>2021</v>
      </c>
      <c r="AB110" s="78"/>
    </row>
    <row r="111" spans="1:29" ht="16.5" customHeight="1" x14ac:dyDescent="0.25">
      <c r="A111" s="21" t="s">
        <v>10</v>
      </c>
      <c r="B111" s="21" t="s">
        <v>11</v>
      </c>
      <c r="C111" s="21" t="s">
        <v>12</v>
      </c>
      <c r="D111" s="21" t="s">
        <v>10</v>
      </c>
      <c r="E111" s="21" t="s">
        <v>20</v>
      </c>
      <c r="F111" s="21" t="s">
        <v>10</v>
      </c>
      <c r="G111" s="21" t="s">
        <v>19</v>
      </c>
      <c r="H111" s="21" t="s">
        <v>10</v>
      </c>
      <c r="I111" s="21" t="s">
        <v>18</v>
      </c>
      <c r="J111" s="21" t="s">
        <v>11</v>
      </c>
      <c r="K111" s="21" t="s">
        <v>10</v>
      </c>
      <c r="L111" s="21" t="s">
        <v>12</v>
      </c>
      <c r="M111" s="21" t="s">
        <v>11</v>
      </c>
      <c r="N111" s="21" t="s">
        <v>10</v>
      </c>
      <c r="O111" s="21" t="s">
        <v>18</v>
      </c>
      <c r="P111" s="21" t="s">
        <v>17</v>
      </c>
      <c r="Q111" s="21" t="s">
        <v>11</v>
      </c>
      <c r="R111" s="143"/>
      <c r="S111" s="146"/>
      <c r="T111" s="24">
        <f>25154.3-6307.2</f>
        <v>18847.099999999999</v>
      </c>
      <c r="U111" s="56"/>
      <c r="V111" s="56"/>
      <c r="W111" s="56"/>
      <c r="X111" s="56"/>
      <c r="Y111" s="56"/>
      <c r="Z111" s="25">
        <f t="shared" si="16"/>
        <v>18847.099999999999</v>
      </c>
      <c r="AA111" s="23">
        <v>2021</v>
      </c>
      <c r="AB111" s="78"/>
    </row>
    <row r="112" spans="1:29" ht="30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7" t="s">
        <v>57</v>
      </c>
      <c r="S112" s="6" t="s">
        <v>39</v>
      </c>
      <c r="T112" s="60">
        <v>4.9059999999999997</v>
      </c>
      <c r="U112" s="109"/>
      <c r="V112" s="109"/>
      <c r="W112" s="109"/>
      <c r="X112" s="109"/>
      <c r="Y112" s="109"/>
      <c r="Z112" s="61">
        <f t="shared" si="16"/>
        <v>4.9059999999999997</v>
      </c>
      <c r="AA112" s="6">
        <v>2021</v>
      </c>
      <c r="AB112" s="77"/>
    </row>
    <row r="113" spans="1:29" ht="19.5" customHeight="1" x14ac:dyDescent="0.25">
      <c r="A113" s="21" t="s">
        <v>10</v>
      </c>
      <c r="B113" s="21" t="s">
        <v>11</v>
      </c>
      <c r="C113" s="21" t="s">
        <v>12</v>
      </c>
      <c r="D113" s="21" t="s">
        <v>10</v>
      </c>
      <c r="E113" s="21" t="s">
        <v>20</v>
      </c>
      <c r="F113" s="21" t="s">
        <v>10</v>
      </c>
      <c r="G113" s="21" t="s">
        <v>19</v>
      </c>
      <c r="H113" s="21" t="s">
        <v>10</v>
      </c>
      <c r="I113" s="21" t="s">
        <v>18</v>
      </c>
      <c r="J113" s="21" t="s">
        <v>11</v>
      </c>
      <c r="K113" s="21" t="s">
        <v>10</v>
      </c>
      <c r="L113" s="21" t="s">
        <v>12</v>
      </c>
      <c r="M113" s="21" t="s">
        <v>10</v>
      </c>
      <c r="N113" s="21" t="s">
        <v>10</v>
      </c>
      <c r="O113" s="21" t="s">
        <v>10</v>
      </c>
      <c r="P113" s="21" t="s">
        <v>10</v>
      </c>
      <c r="Q113" s="21" t="s">
        <v>10</v>
      </c>
      <c r="R113" s="141" t="s">
        <v>121</v>
      </c>
      <c r="S113" s="144" t="s">
        <v>33</v>
      </c>
      <c r="T113" s="25">
        <f>T114+T115</f>
        <v>3696.9</v>
      </c>
      <c r="U113" s="59"/>
      <c r="V113" s="59"/>
      <c r="W113" s="59"/>
      <c r="X113" s="59"/>
      <c r="Y113" s="59"/>
      <c r="Z113" s="25">
        <f t="shared" si="16"/>
        <v>3696.9</v>
      </c>
      <c r="AA113" s="23">
        <v>2021</v>
      </c>
      <c r="AB113" s="78"/>
      <c r="AC113" s="43"/>
    </row>
    <row r="114" spans="1:29" ht="17.25" customHeight="1" x14ac:dyDescent="0.25">
      <c r="A114" s="21" t="s">
        <v>10</v>
      </c>
      <c r="B114" s="21" t="s">
        <v>11</v>
      </c>
      <c r="C114" s="21" t="s">
        <v>12</v>
      </c>
      <c r="D114" s="21" t="s">
        <v>10</v>
      </c>
      <c r="E114" s="21" t="s">
        <v>20</v>
      </c>
      <c r="F114" s="21" t="s">
        <v>10</v>
      </c>
      <c r="G114" s="21" t="s">
        <v>19</v>
      </c>
      <c r="H114" s="21" t="s">
        <v>10</v>
      </c>
      <c r="I114" s="21" t="s">
        <v>18</v>
      </c>
      <c r="J114" s="21" t="s">
        <v>11</v>
      </c>
      <c r="K114" s="21" t="s">
        <v>10</v>
      </c>
      <c r="L114" s="21" t="s">
        <v>12</v>
      </c>
      <c r="M114" s="21" t="s">
        <v>40</v>
      </c>
      <c r="N114" s="21" t="s">
        <v>10</v>
      </c>
      <c r="O114" s="21" t="s">
        <v>18</v>
      </c>
      <c r="P114" s="21" t="s">
        <v>17</v>
      </c>
      <c r="Q114" s="21" t="s">
        <v>11</v>
      </c>
      <c r="R114" s="142"/>
      <c r="S114" s="145"/>
      <c r="T114" s="24">
        <f>628.9+110.5</f>
        <v>739.4</v>
      </c>
      <c r="U114" s="56"/>
      <c r="V114" s="56"/>
      <c r="W114" s="56"/>
      <c r="X114" s="56"/>
      <c r="Y114" s="56"/>
      <c r="Z114" s="25">
        <f t="shared" si="16"/>
        <v>739.4</v>
      </c>
      <c r="AA114" s="23">
        <v>2021</v>
      </c>
      <c r="AB114" s="78"/>
    </row>
    <row r="115" spans="1:29" ht="17.25" customHeight="1" x14ac:dyDescent="0.25">
      <c r="A115" s="21" t="s">
        <v>10</v>
      </c>
      <c r="B115" s="21" t="s">
        <v>11</v>
      </c>
      <c r="C115" s="21" t="s">
        <v>12</v>
      </c>
      <c r="D115" s="21" t="s">
        <v>10</v>
      </c>
      <c r="E115" s="21" t="s">
        <v>20</v>
      </c>
      <c r="F115" s="21" t="s">
        <v>10</v>
      </c>
      <c r="G115" s="21" t="s">
        <v>19</v>
      </c>
      <c r="H115" s="21" t="s">
        <v>10</v>
      </c>
      <c r="I115" s="21" t="s">
        <v>18</v>
      </c>
      <c r="J115" s="21" t="s">
        <v>11</v>
      </c>
      <c r="K115" s="21" t="s">
        <v>10</v>
      </c>
      <c r="L115" s="21" t="s">
        <v>12</v>
      </c>
      <c r="M115" s="21" t="s">
        <v>11</v>
      </c>
      <c r="N115" s="21" t="s">
        <v>10</v>
      </c>
      <c r="O115" s="21" t="s">
        <v>18</v>
      </c>
      <c r="P115" s="21" t="s">
        <v>17</v>
      </c>
      <c r="Q115" s="21" t="s">
        <v>11</v>
      </c>
      <c r="R115" s="143"/>
      <c r="S115" s="146"/>
      <c r="T115" s="24">
        <f>2515.5+442</f>
        <v>2957.5</v>
      </c>
      <c r="U115" s="56"/>
      <c r="V115" s="56"/>
      <c r="W115" s="56"/>
      <c r="X115" s="56"/>
      <c r="Y115" s="56"/>
      <c r="Z115" s="25">
        <f t="shared" si="16"/>
        <v>2957.5</v>
      </c>
      <c r="AA115" s="23">
        <v>2021</v>
      </c>
      <c r="AB115" s="78"/>
    </row>
    <row r="116" spans="1:29" ht="30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7" t="s">
        <v>124</v>
      </c>
      <c r="S116" s="6" t="s">
        <v>2</v>
      </c>
      <c r="T116" s="5">
        <v>2.1</v>
      </c>
      <c r="U116" s="107"/>
      <c r="V116" s="107"/>
      <c r="W116" s="107"/>
      <c r="X116" s="107"/>
      <c r="Y116" s="107"/>
      <c r="Z116" s="3">
        <f t="shared" si="16"/>
        <v>2.1</v>
      </c>
      <c r="AA116" s="6">
        <v>2021</v>
      </c>
      <c r="AB116" s="77"/>
    </row>
    <row r="117" spans="1:29" ht="19.5" customHeight="1" x14ac:dyDescent="0.25">
      <c r="A117" s="21" t="s">
        <v>10</v>
      </c>
      <c r="B117" s="21" t="s">
        <v>11</v>
      </c>
      <c r="C117" s="21" t="s">
        <v>12</v>
      </c>
      <c r="D117" s="21" t="s">
        <v>10</v>
      </c>
      <c r="E117" s="21" t="s">
        <v>20</v>
      </c>
      <c r="F117" s="21" t="s">
        <v>10</v>
      </c>
      <c r="G117" s="21" t="s">
        <v>19</v>
      </c>
      <c r="H117" s="21" t="s">
        <v>10</v>
      </c>
      <c r="I117" s="21" t="s">
        <v>18</v>
      </c>
      <c r="J117" s="21" t="s">
        <v>11</v>
      </c>
      <c r="K117" s="21" t="s">
        <v>10</v>
      </c>
      <c r="L117" s="21" t="s">
        <v>12</v>
      </c>
      <c r="M117" s="21" t="s">
        <v>10</v>
      </c>
      <c r="N117" s="21" t="s">
        <v>10</v>
      </c>
      <c r="O117" s="21" t="s">
        <v>10</v>
      </c>
      <c r="P117" s="21" t="s">
        <v>10</v>
      </c>
      <c r="Q117" s="21" t="s">
        <v>10</v>
      </c>
      <c r="R117" s="141" t="s">
        <v>125</v>
      </c>
      <c r="S117" s="144" t="s">
        <v>33</v>
      </c>
      <c r="T117" s="25">
        <f>T118+T119</f>
        <v>4478</v>
      </c>
      <c r="U117" s="59"/>
      <c r="V117" s="59"/>
      <c r="W117" s="59"/>
      <c r="X117" s="59"/>
      <c r="Y117" s="59"/>
      <c r="Z117" s="25">
        <f t="shared" ref="Z117:Z129" si="17">T117+U117+V117+W117+X117+Y117</f>
        <v>4478</v>
      </c>
      <c r="AA117" s="23">
        <v>2021</v>
      </c>
      <c r="AB117" s="78"/>
      <c r="AC117" s="43"/>
    </row>
    <row r="118" spans="1:29" ht="18" customHeight="1" x14ac:dyDescent="0.25">
      <c r="A118" s="21" t="s">
        <v>10</v>
      </c>
      <c r="B118" s="21" t="s">
        <v>11</v>
      </c>
      <c r="C118" s="21" t="s">
        <v>12</v>
      </c>
      <c r="D118" s="21" t="s">
        <v>10</v>
      </c>
      <c r="E118" s="21" t="s">
        <v>20</v>
      </c>
      <c r="F118" s="21" t="s">
        <v>10</v>
      </c>
      <c r="G118" s="21" t="s">
        <v>19</v>
      </c>
      <c r="H118" s="21" t="s">
        <v>10</v>
      </c>
      <c r="I118" s="21" t="s">
        <v>18</v>
      </c>
      <c r="J118" s="21" t="s">
        <v>11</v>
      </c>
      <c r="K118" s="21" t="s">
        <v>10</v>
      </c>
      <c r="L118" s="21" t="s">
        <v>12</v>
      </c>
      <c r="M118" s="21" t="s">
        <v>40</v>
      </c>
      <c r="N118" s="21" t="s">
        <v>10</v>
      </c>
      <c r="O118" s="21" t="s">
        <v>18</v>
      </c>
      <c r="P118" s="21" t="s">
        <v>17</v>
      </c>
      <c r="Q118" s="21" t="s">
        <v>11</v>
      </c>
      <c r="R118" s="142"/>
      <c r="S118" s="145"/>
      <c r="T118" s="24">
        <v>895.6</v>
      </c>
      <c r="U118" s="56"/>
      <c r="V118" s="56"/>
      <c r="W118" s="56"/>
      <c r="X118" s="56"/>
      <c r="Y118" s="56"/>
      <c r="Z118" s="25">
        <f t="shared" si="17"/>
        <v>895.6</v>
      </c>
      <c r="AA118" s="23">
        <v>2021</v>
      </c>
      <c r="AB118" s="78"/>
    </row>
    <row r="119" spans="1:29" ht="19.5" customHeight="1" x14ac:dyDescent="0.25">
      <c r="A119" s="21" t="s">
        <v>10</v>
      </c>
      <c r="B119" s="21" t="s">
        <v>11</v>
      </c>
      <c r="C119" s="21" t="s">
        <v>12</v>
      </c>
      <c r="D119" s="21" t="s">
        <v>10</v>
      </c>
      <c r="E119" s="21" t="s">
        <v>20</v>
      </c>
      <c r="F119" s="21" t="s">
        <v>10</v>
      </c>
      <c r="G119" s="21" t="s">
        <v>19</v>
      </c>
      <c r="H119" s="21" t="s">
        <v>10</v>
      </c>
      <c r="I119" s="21" t="s">
        <v>18</v>
      </c>
      <c r="J119" s="21" t="s">
        <v>11</v>
      </c>
      <c r="K119" s="21" t="s">
        <v>10</v>
      </c>
      <c r="L119" s="21" t="s">
        <v>12</v>
      </c>
      <c r="M119" s="21" t="s">
        <v>11</v>
      </c>
      <c r="N119" s="21" t="s">
        <v>10</v>
      </c>
      <c r="O119" s="21" t="s">
        <v>18</v>
      </c>
      <c r="P119" s="21" t="s">
        <v>17</v>
      </c>
      <c r="Q119" s="21" t="s">
        <v>11</v>
      </c>
      <c r="R119" s="143"/>
      <c r="S119" s="146"/>
      <c r="T119" s="24">
        <v>3582.4</v>
      </c>
      <c r="U119" s="56"/>
      <c r="V119" s="56"/>
      <c r="W119" s="56"/>
      <c r="X119" s="56"/>
      <c r="Y119" s="56"/>
      <c r="Z119" s="25">
        <f t="shared" si="17"/>
        <v>3582.4</v>
      </c>
      <c r="AA119" s="23">
        <v>2021</v>
      </c>
      <c r="AB119" s="78"/>
    </row>
    <row r="120" spans="1:29" ht="30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7" t="s">
        <v>107</v>
      </c>
      <c r="S120" s="6" t="s">
        <v>2</v>
      </c>
      <c r="T120" s="60">
        <v>0.1118</v>
      </c>
      <c r="U120" s="109"/>
      <c r="V120" s="109"/>
      <c r="W120" s="109"/>
      <c r="X120" s="109"/>
      <c r="Y120" s="109"/>
      <c r="Z120" s="61">
        <f t="shared" ref="Z120" si="18">T120+U120+V120+W120+X120+Y120</f>
        <v>0.1118</v>
      </c>
      <c r="AA120" s="6">
        <v>2021</v>
      </c>
      <c r="AB120" s="77"/>
    </row>
    <row r="121" spans="1:29" ht="30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7" t="s">
        <v>122</v>
      </c>
      <c r="S121" s="6" t="s">
        <v>39</v>
      </c>
      <c r="T121" s="60">
        <v>0.47699999999999998</v>
      </c>
      <c r="U121" s="109"/>
      <c r="V121" s="109"/>
      <c r="W121" s="109"/>
      <c r="X121" s="109"/>
      <c r="Y121" s="109"/>
      <c r="Z121" s="61">
        <f t="shared" si="17"/>
        <v>0.47699999999999998</v>
      </c>
      <c r="AA121" s="6">
        <v>2021</v>
      </c>
      <c r="AB121" s="77"/>
    </row>
    <row r="122" spans="1:29" ht="21.75" customHeight="1" x14ac:dyDescent="0.25">
      <c r="A122" s="21" t="s">
        <v>10</v>
      </c>
      <c r="B122" s="21" t="s">
        <v>11</v>
      </c>
      <c r="C122" s="21" t="s">
        <v>12</v>
      </c>
      <c r="D122" s="21" t="s">
        <v>10</v>
      </c>
      <c r="E122" s="21" t="s">
        <v>20</v>
      </c>
      <c r="F122" s="21" t="s">
        <v>10</v>
      </c>
      <c r="G122" s="21" t="s">
        <v>19</v>
      </c>
      <c r="H122" s="21" t="s">
        <v>10</v>
      </c>
      <c r="I122" s="21" t="s">
        <v>18</v>
      </c>
      <c r="J122" s="21" t="s">
        <v>11</v>
      </c>
      <c r="K122" s="21" t="s">
        <v>10</v>
      </c>
      <c r="L122" s="21" t="s">
        <v>12</v>
      </c>
      <c r="M122" s="21" t="s">
        <v>10</v>
      </c>
      <c r="N122" s="21" t="s">
        <v>10</v>
      </c>
      <c r="O122" s="21" t="s">
        <v>10</v>
      </c>
      <c r="P122" s="21" t="s">
        <v>10</v>
      </c>
      <c r="Q122" s="21" t="s">
        <v>10</v>
      </c>
      <c r="R122" s="141" t="s">
        <v>138</v>
      </c>
      <c r="S122" s="144" t="s">
        <v>33</v>
      </c>
      <c r="T122" s="25">
        <f>T123+T124</f>
        <v>9134.2999999999993</v>
      </c>
      <c r="U122" s="59"/>
      <c r="V122" s="59"/>
      <c r="W122" s="59"/>
      <c r="X122" s="59"/>
      <c r="Y122" s="59"/>
      <c r="Z122" s="25">
        <f t="shared" si="17"/>
        <v>9134.2999999999993</v>
      </c>
      <c r="AA122" s="23">
        <v>2021</v>
      </c>
      <c r="AB122" s="78"/>
      <c r="AC122" s="43"/>
    </row>
    <row r="123" spans="1:29" ht="18.75" customHeight="1" x14ac:dyDescent="0.25">
      <c r="A123" s="21" t="s">
        <v>10</v>
      </c>
      <c r="B123" s="21" t="s">
        <v>11</v>
      </c>
      <c r="C123" s="21" t="s">
        <v>12</v>
      </c>
      <c r="D123" s="21" t="s">
        <v>10</v>
      </c>
      <c r="E123" s="21" t="s">
        <v>20</v>
      </c>
      <c r="F123" s="21" t="s">
        <v>10</v>
      </c>
      <c r="G123" s="21" t="s">
        <v>19</v>
      </c>
      <c r="H123" s="21" t="s">
        <v>10</v>
      </c>
      <c r="I123" s="21" t="s">
        <v>18</v>
      </c>
      <c r="J123" s="21" t="s">
        <v>11</v>
      </c>
      <c r="K123" s="21" t="s">
        <v>10</v>
      </c>
      <c r="L123" s="21" t="s">
        <v>12</v>
      </c>
      <c r="M123" s="21" t="s">
        <v>40</v>
      </c>
      <c r="N123" s="21" t="s">
        <v>10</v>
      </c>
      <c r="O123" s="21" t="s">
        <v>18</v>
      </c>
      <c r="P123" s="21" t="s">
        <v>17</v>
      </c>
      <c r="Q123" s="21" t="s">
        <v>11</v>
      </c>
      <c r="R123" s="142"/>
      <c r="S123" s="145"/>
      <c r="T123" s="24">
        <f>1847.2-101.6</f>
        <v>1745.6000000000001</v>
      </c>
      <c r="U123" s="56"/>
      <c r="V123" s="56"/>
      <c r="W123" s="56"/>
      <c r="X123" s="56"/>
      <c r="Y123" s="56"/>
      <c r="Z123" s="25">
        <f t="shared" si="17"/>
        <v>1745.6000000000001</v>
      </c>
      <c r="AA123" s="23">
        <v>2021</v>
      </c>
      <c r="AB123" s="78"/>
    </row>
    <row r="124" spans="1:29" ht="21" customHeight="1" x14ac:dyDescent="0.25">
      <c r="A124" s="21" t="s">
        <v>10</v>
      </c>
      <c r="B124" s="21" t="s">
        <v>11</v>
      </c>
      <c r="C124" s="21" t="s">
        <v>12</v>
      </c>
      <c r="D124" s="21" t="s">
        <v>10</v>
      </c>
      <c r="E124" s="21" t="s">
        <v>20</v>
      </c>
      <c r="F124" s="21" t="s">
        <v>10</v>
      </c>
      <c r="G124" s="21" t="s">
        <v>19</v>
      </c>
      <c r="H124" s="21" t="s">
        <v>10</v>
      </c>
      <c r="I124" s="21" t="s">
        <v>18</v>
      </c>
      <c r="J124" s="21" t="s">
        <v>11</v>
      </c>
      <c r="K124" s="21" t="s">
        <v>10</v>
      </c>
      <c r="L124" s="21" t="s">
        <v>12</v>
      </c>
      <c r="M124" s="21" t="s">
        <v>11</v>
      </c>
      <c r="N124" s="21" t="s">
        <v>10</v>
      </c>
      <c r="O124" s="21" t="s">
        <v>18</v>
      </c>
      <c r="P124" s="21" t="s">
        <v>17</v>
      </c>
      <c r="Q124" s="21" t="s">
        <v>11</v>
      </c>
      <c r="R124" s="143"/>
      <c r="S124" s="146"/>
      <c r="T124" s="24">
        <v>7388.7</v>
      </c>
      <c r="U124" s="56"/>
      <c r="V124" s="56"/>
      <c r="W124" s="56"/>
      <c r="X124" s="56"/>
      <c r="Y124" s="56"/>
      <c r="Z124" s="25">
        <f t="shared" si="17"/>
        <v>7388.7</v>
      </c>
      <c r="AA124" s="23">
        <v>2021</v>
      </c>
      <c r="AB124" s="78"/>
    </row>
    <row r="125" spans="1:29" ht="32.2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25" t="s">
        <v>107</v>
      </c>
      <c r="S125" s="6" t="s">
        <v>2</v>
      </c>
      <c r="T125" s="60">
        <v>0.29799999999999999</v>
      </c>
      <c r="U125" s="109"/>
      <c r="V125" s="109"/>
      <c r="W125" s="109"/>
      <c r="X125" s="109"/>
      <c r="Y125" s="109"/>
      <c r="Z125" s="61">
        <f t="shared" si="17"/>
        <v>0.29799999999999999</v>
      </c>
      <c r="AA125" s="6">
        <v>2021</v>
      </c>
      <c r="AB125" s="77"/>
    </row>
    <row r="126" spans="1:29" ht="20.25" customHeight="1" x14ac:dyDescent="0.25">
      <c r="A126" s="21" t="s">
        <v>10</v>
      </c>
      <c r="B126" s="21" t="s">
        <v>11</v>
      </c>
      <c r="C126" s="21" t="s">
        <v>12</v>
      </c>
      <c r="D126" s="21" t="s">
        <v>10</v>
      </c>
      <c r="E126" s="21" t="s">
        <v>20</v>
      </c>
      <c r="F126" s="21" t="s">
        <v>10</v>
      </c>
      <c r="G126" s="21" t="s">
        <v>19</v>
      </c>
      <c r="H126" s="21" t="s">
        <v>10</v>
      </c>
      <c r="I126" s="21" t="s">
        <v>18</v>
      </c>
      <c r="J126" s="21" t="s">
        <v>11</v>
      </c>
      <c r="K126" s="21" t="s">
        <v>10</v>
      </c>
      <c r="L126" s="21" t="s">
        <v>12</v>
      </c>
      <c r="M126" s="21" t="s">
        <v>10</v>
      </c>
      <c r="N126" s="21" t="s">
        <v>10</v>
      </c>
      <c r="O126" s="21" t="s">
        <v>10</v>
      </c>
      <c r="P126" s="21" t="s">
        <v>10</v>
      </c>
      <c r="Q126" s="21" t="s">
        <v>10</v>
      </c>
      <c r="R126" s="141" t="s">
        <v>126</v>
      </c>
      <c r="S126" s="144" t="s">
        <v>33</v>
      </c>
      <c r="T126" s="25">
        <f>T127+T128</f>
        <v>34000</v>
      </c>
      <c r="U126" s="59"/>
      <c r="V126" s="59"/>
      <c r="W126" s="59"/>
      <c r="X126" s="59"/>
      <c r="Y126" s="59"/>
      <c r="Z126" s="25">
        <f t="shared" si="17"/>
        <v>34000</v>
      </c>
      <c r="AA126" s="23">
        <v>2021</v>
      </c>
      <c r="AB126" s="78"/>
      <c r="AC126" s="43"/>
    </row>
    <row r="127" spans="1:29" ht="18" customHeight="1" x14ac:dyDescent="0.25">
      <c r="A127" s="21" t="s">
        <v>10</v>
      </c>
      <c r="B127" s="21" t="s">
        <v>11</v>
      </c>
      <c r="C127" s="21" t="s">
        <v>12</v>
      </c>
      <c r="D127" s="21" t="s">
        <v>10</v>
      </c>
      <c r="E127" s="21" t="s">
        <v>20</v>
      </c>
      <c r="F127" s="21" t="s">
        <v>10</v>
      </c>
      <c r="G127" s="21" t="s">
        <v>19</v>
      </c>
      <c r="H127" s="21" t="s">
        <v>10</v>
      </c>
      <c r="I127" s="21" t="s">
        <v>18</v>
      </c>
      <c r="J127" s="21" t="s">
        <v>11</v>
      </c>
      <c r="K127" s="21" t="s">
        <v>10</v>
      </c>
      <c r="L127" s="21" t="s">
        <v>12</v>
      </c>
      <c r="M127" s="21" t="s">
        <v>40</v>
      </c>
      <c r="N127" s="21" t="s">
        <v>10</v>
      </c>
      <c r="O127" s="21" t="s">
        <v>18</v>
      </c>
      <c r="P127" s="21" t="s">
        <v>17</v>
      </c>
      <c r="Q127" s="21" t="s">
        <v>11</v>
      </c>
      <c r="R127" s="142"/>
      <c r="S127" s="145"/>
      <c r="T127" s="24">
        <v>6800</v>
      </c>
      <c r="U127" s="56"/>
      <c r="V127" s="56"/>
      <c r="W127" s="56"/>
      <c r="X127" s="56"/>
      <c r="Y127" s="56"/>
      <c r="Z127" s="25">
        <f t="shared" si="17"/>
        <v>6800</v>
      </c>
      <c r="AA127" s="23">
        <v>2021</v>
      </c>
      <c r="AB127" s="78"/>
    </row>
    <row r="128" spans="1:29" ht="19.5" customHeight="1" x14ac:dyDescent="0.25">
      <c r="A128" s="21" t="s">
        <v>10</v>
      </c>
      <c r="B128" s="21" t="s">
        <v>11</v>
      </c>
      <c r="C128" s="21" t="s">
        <v>12</v>
      </c>
      <c r="D128" s="21" t="s">
        <v>10</v>
      </c>
      <c r="E128" s="21" t="s">
        <v>20</v>
      </c>
      <c r="F128" s="21" t="s">
        <v>10</v>
      </c>
      <c r="G128" s="21" t="s">
        <v>19</v>
      </c>
      <c r="H128" s="21" t="s">
        <v>10</v>
      </c>
      <c r="I128" s="21" t="s">
        <v>18</v>
      </c>
      <c r="J128" s="21" t="s">
        <v>11</v>
      </c>
      <c r="K128" s="21" t="s">
        <v>10</v>
      </c>
      <c r="L128" s="21" t="s">
        <v>12</v>
      </c>
      <c r="M128" s="21" t="s">
        <v>11</v>
      </c>
      <c r="N128" s="21" t="s">
        <v>10</v>
      </c>
      <c r="O128" s="21" t="s">
        <v>18</v>
      </c>
      <c r="P128" s="21" t="s">
        <v>17</v>
      </c>
      <c r="Q128" s="21" t="s">
        <v>11</v>
      </c>
      <c r="R128" s="143"/>
      <c r="S128" s="146"/>
      <c r="T128" s="24">
        <v>27200</v>
      </c>
      <c r="U128" s="56"/>
      <c r="V128" s="56"/>
      <c r="W128" s="56"/>
      <c r="X128" s="56"/>
      <c r="Y128" s="56"/>
      <c r="Z128" s="25">
        <f t="shared" si="17"/>
        <v>27200</v>
      </c>
      <c r="AA128" s="23">
        <v>2021</v>
      </c>
      <c r="AB128" s="78"/>
    </row>
    <row r="129" spans="1:29" ht="30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25" t="s">
        <v>107</v>
      </c>
      <c r="S129" s="6" t="s">
        <v>2</v>
      </c>
      <c r="T129" s="60">
        <v>0.84899999999999998</v>
      </c>
      <c r="U129" s="109"/>
      <c r="V129" s="109"/>
      <c r="W129" s="109"/>
      <c r="X129" s="109"/>
      <c r="Y129" s="109"/>
      <c r="Z129" s="61">
        <f t="shared" si="17"/>
        <v>0.84899999999999998</v>
      </c>
      <c r="AA129" s="6">
        <v>2021</v>
      </c>
      <c r="AB129" s="77"/>
    </row>
    <row r="130" spans="1:29" ht="30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25" t="s">
        <v>122</v>
      </c>
      <c r="S130" s="6" t="s">
        <v>39</v>
      </c>
      <c r="T130" s="60">
        <v>1.452</v>
      </c>
      <c r="U130" s="109"/>
      <c r="V130" s="109"/>
      <c r="W130" s="109"/>
      <c r="X130" s="109"/>
      <c r="Y130" s="109"/>
      <c r="Z130" s="61">
        <f t="shared" ref="Z130" si="19">T130+U130+V130+W130+X130+Y130</f>
        <v>1.452</v>
      </c>
      <c r="AA130" s="6">
        <v>2021</v>
      </c>
      <c r="AB130" s="77"/>
    </row>
    <row r="131" spans="1:29" ht="19.5" customHeight="1" x14ac:dyDescent="0.25">
      <c r="A131" s="21" t="s">
        <v>10</v>
      </c>
      <c r="B131" s="21" t="s">
        <v>11</v>
      </c>
      <c r="C131" s="21" t="s">
        <v>12</v>
      </c>
      <c r="D131" s="21" t="s">
        <v>10</v>
      </c>
      <c r="E131" s="21" t="s">
        <v>20</v>
      </c>
      <c r="F131" s="21" t="s">
        <v>10</v>
      </c>
      <c r="G131" s="21" t="s">
        <v>19</v>
      </c>
      <c r="H131" s="21" t="s">
        <v>10</v>
      </c>
      <c r="I131" s="21" t="s">
        <v>18</v>
      </c>
      <c r="J131" s="21" t="s">
        <v>11</v>
      </c>
      <c r="K131" s="21" t="s">
        <v>10</v>
      </c>
      <c r="L131" s="21" t="s">
        <v>12</v>
      </c>
      <c r="M131" s="21" t="s">
        <v>10</v>
      </c>
      <c r="N131" s="21" t="s">
        <v>10</v>
      </c>
      <c r="O131" s="21" t="s">
        <v>10</v>
      </c>
      <c r="P131" s="21" t="s">
        <v>10</v>
      </c>
      <c r="Q131" s="21" t="s">
        <v>10</v>
      </c>
      <c r="R131" s="141" t="s">
        <v>127</v>
      </c>
      <c r="S131" s="144" t="s">
        <v>33</v>
      </c>
      <c r="T131" s="25">
        <f>T132+T133</f>
        <v>2500</v>
      </c>
      <c r="U131" s="59"/>
      <c r="V131" s="59"/>
      <c r="W131" s="59"/>
      <c r="X131" s="59"/>
      <c r="Y131" s="59"/>
      <c r="Z131" s="25">
        <f t="shared" ref="Z131:Z138" si="20">T131+U131+V131+W131+X131+Y131</f>
        <v>2500</v>
      </c>
      <c r="AA131" s="23">
        <v>2021</v>
      </c>
      <c r="AB131" s="78"/>
      <c r="AC131" s="43"/>
    </row>
    <row r="132" spans="1:29" ht="19.5" customHeight="1" x14ac:dyDescent="0.25">
      <c r="A132" s="21" t="s">
        <v>10</v>
      </c>
      <c r="B132" s="21" t="s">
        <v>11</v>
      </c>
      <c r="C132" s="21" t="s">
        <v>12</v>
      </c>
      <c r="D132" s="21" t="s">
        <v>10</v>
      </c>
      <c r="E132" s="21" t="s">
        <v>20</v>
      </c>
      <c r="F132" s="21" t="s">
        <v>10</v>
      </c>
      <c r="G132" s="21" t="s">
        <v>19</v>
      </c>
      <c r="H132" s="21" t="s">
        <v>10</v>
      </c>
      <c r="I132" s="21" t="s">
        <v>18</v>
      </c>
      <c r="J132" s="21" t="s">
        <v>11</v>
      </c>
      <c r="K132" s="21" t="s">
        <v>10</v>
      </c>
      <c r="L132" s="21" t="s">
        <v>12</v>
      </c>
      <c r="M132" s="21" t="s">
        <v>40</v>
      </c>
      <c r="N132" s="21" t="s">
        <v>10</v>
      </c>
      <c r="O132" s="21" t="s">
        <v>18</v>
      </c>
      <c r="P132" s="21" t="s">
        <v>17</v>
      </c>
      <c r="Q132" s="21" t="s">
        <v>11</v>
      </c>
      <c r="R132" s="142"/>
      <c r="S132" s="145"/>
      <c r="T132" s="24">
        <v>500</v>
      </c>
      <c r="U132" s="56"/>
      <c r="V132" s="56"/>
      <c r="W132" s="56"/>
      <c r="X132" s="56"/>
      <c r="Y132" s="56"/>
      <c r="Z132" s="25">
        <f t="shared" si="20"/>
        <v>500</v>
      </c>
      <c r="AA132" s="23">
        <v>2021</v>
      </c>
      <c r="AB132" s="78"/>
    </row>
    <row r="133" spans="1:29" ht="18.75" customHeight="1" x14ac:dyDescent="0.25">
      <c r="A133" s="21" t="s">
        <v>10</v>
      </c>
      <c r="B133" s="21" t="s">
        <v>11</v>
      </c>
      <c r="C133" s="21" t="s">
        <v>12</v>
      </c>
      <c r="D133" s="21" t="s">
        <v>10</v>
      </c>
      <c r="E133" s="21" t="s">
        <v>20</v>
      </c>
      <c r="F133" s="21" t="s">
        <v>10</v>
      </c>
      <c r="G133" s="21" t="s">
        <v>19</v>
      </c>
      <c r="H133" s="21" t="s">
        <v>10</v>
      </c>
      <c r="I133" s="21" t="s">
        <v>18</v>
      </c>
      <c r="J133" s="21" t="s">
        <v>11</v>
      </c>
      <c r="K133" s="21" t="s">
        <v>10</v>
      </c>
      <c r="L133" s="21" t="s">
        <v>12</v>
      </c>
      <c r="M133" s="21" t="s">
        <v>11</v>
      </c>
      <c r="N133" s="21" t="s">
        <v>10</v>
      </c>
      <c r="O133" s="21" t="s">
        <v>18</v>
      </c>
      <c r="P133" s="21" t="s">
        <v>17</v>
      </c>
      <c r="Q133" s="21" t="s">
        <v>11</v>
      </c>
      <c r="R133" s="143"/>
      <c r="S133" s="146"/>
      <c r="T133" s="24">
        <v>2000</v>
      </c>
      <c r="U133" s="56"/>
      <c r="V133" s="56"/>
      <c r="W133" s="56"/>
      <c r="X133" s="56"/>
      <c r="Y133" s="56"/>
      <c r="Z133" s="25">
        <f t="shared" si="20"/>
        <v>2000</v>
      </c>
      <c r="AA133" s="23">
        <v>2021</v>
      </c>
      <c r="AB133" s="78"/>
    </row>
    <row r="134" spans="1:29" ht="30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7" t="s">
        <v>57</v>
      </c>
      <c r="S134" s="6" t="s">
        <v>39</v>
      </c>
      <c r="T134" s="60">
        <v>0.56100000000000005</v>
      </c>
      <c r="U134" s="109"/>
      <c r="V134" s="109"/>
      <c r="W134" s="109"/>
      <c r="X134" s="109"/>
      <c r="Y134" s="109"/>
      <c r="Z134" s="61">
        <f t="shared" si="20"/>
        <v>0.56100000000000005</v>
      </c>
      <c r="AA134" s="6">
        <v>2021</v>
      </c>
      <c r="AB134" s="77"/>
    </row>
    <row r="135" spans="1:29" ht="18" customHeight="1" x14ac:dyDescent="0.25">
      <c r="A135" s="21" t="s">
        <v>10</v>
      </c>
      <c r="B135" s="21" t="s">
        <v>11</v>
      </c>
      <c r="C135" s="21" t="s">
        <v>12</v>
      </c>
      <c r="D135" s="21" t="s">
        <v>10</v>
      </c>
      <c r="E135" s="21" t="s">
        <v>20</v>
      </c>
      <c r="F135" s="21" t="s">
        <v>10</v>
      </c>
      <c r="G135" s="21" t="s">
        <v>19</v>
      </c>
      <c r="H135" s="21" t="s">
        <v>10</v>
      </c>
      <c r="I135" s="21" t="s">
        <v>18</v>
      </c>
      <c r="J135" s="21" t="s">
        <v>11</v>
      </c>
      <c r="K135" s="21" t="s">
        <v>10</v>
      </c>
      <c r="L135" s="21" t="s">
        <v>12</v>
      </c>
      <c r="M135" s="21" t="s">
        <v>10</v>
      </c>
      <c r="N135" s="21" t="s">
        <v>10</v>
      </c>
      <c r="O135" s="21" t="s">
        <v>10</v>
      </c>
      <c r="P135" s="21" t="s">
        <v>10</v>
      </c>
      <c r="Q135" s="21" t="s">
        <v>10</v>
      </c>
      <c r="R135" s="141" t="s">
        <v>128</v>
      </c>
      <c r="S135" s="144" t="s">
        <v>33</v>
      </c>
      <c r="T135" s="25">
        <f>T136+T137</f>
        <v>10000</v>
      </c>
      <c r="U135" s="59"/>
      <c r="V135" s="59"/>
      <c r="W135" s="59"/>
      <c r="X135" s="59"/>
      <c r="Y135" s="59"/>
      <c r="Z135" s="25">
        <f t="shared" si="20"/>
        <v>10000</v>
      </c>
      <c r="AA135" s="23">
        <v>2021</v>
      </c>
      <c r="AB135" s="78"/>
      <c r="AC135" s="43"/>
    </row>
    <row r="136" spans="1:29" ht="19.5" customHeight="1" x14ac:dyDescent="0.25">
      <c r="A136" s="21" t="s">
        <v>10</v>
      </c>
      <c r="B136" s="21" t="s">
        <v>11</v>
      </c>
      <c r="C136" s="21" t="s">
        <v>12</v>
      </c>
      <c r="D136" s="21" t="s">
        <v>10</v>
      </c>
      <c r="E136" s="21" t="s">
        <v>20</v>
      </c>
      <c r="F136" s="21" t="s">
        <v>10</v>
      </c>
      <c r="G136" s="21" t="s">
        <v>19</v>
      </c>
      <c r="H136" s="21" t="s">
        <v>10</v>
      </c>
      <c r="I136" s="21" t="s">
        <v>18</v>
      </c>
      <c r="J136" s="21" t="s">
        <v>11</v>
      </c>
      <c r="K136" s="21" t="s">
        <v>10</v>
      </c>
      <c r="L136" s="21" t="s">
        <v>12</v>
      </c>
      <c r="M136" s="21" t="s">
        <v>40</v>
      </c>
      <c r="N136" s="21" t="s">
        <v>10</v>
      </c>
      <c r="O136" s="21" t="s">
        <v>18</v>
      </c>
      <c r="P136" s="21" t="s">
        <v>17</v>
      </c>
      <c r="Q136" s="21" t="s">
        <v>11</v>
      </c>
      <c r="R136" s="142"/>
      <c r="S136" s="145"/>
      <c r="T136" s="24">
        <v>2000</v>
      </c>
      <c r="U136" s="56"/>
      <c r="V136" s="56"/>
      <c r="W136" s="56"/>
      <c r="X136" s="56"/>
      <c r="Y136" s="56"/>
      <c r="Z136" s="25">
        <f t="shared" si="20"/>
        <v>2000</v>
      </c>
      <c r="AA136" s="23">
        <v>2021</v>
      </c>
      <c r="AB136" s="78"/>
    </row>
    <row r="137" spans="1:29" ht="18" customHeight="1" x14ac:dyDescent="0.25">
      <c r="A137" s="21" t="s">
        <v>10</v>
      </c>
      <c r="B137" s="21" t="s">
        <v>11</v>
      </c>
      <c r="C137" s="21" t="s">
        <v>12</v>
      </c>
      <c r="D137" s="21" t="s">
        <v>10</v>
      </c>
      <c r="E137" s="21" t="s">
        <v>20</v>
      </c>
      <c r="F137" s="21" t="s">
        <v>10</v>
      </c>
      <c r="G137" s="21" t="s">
        <v>19</v>
      </c>
      <c r="H137" s="21" t="s">
        <v>10</v>
      </c>
      <c r="I137" s="21" t="s">
        <v>18</v>
      </c>
      <c r="J137" s="21" t="s">
        <v>11</v>
      </c>
      <c r="K137" s="21" t="s">
        <v>10</v>
      </c>
      <c r="L137" s="21" t="s">
        <v>12</v>
      </c>
      <c r="M137" s="21" t="s">
        <v>11</v>
      </c>
      <c r="N137" s="21" t="s">
        <v>10</v>
      </c>
      <c r="O137" s="21" t="s">
        <v>18</v>
      </c>
      <c r="P137" s="21" t="s">
        <v>17</v>
      </c>
      <c r="Q137" s="21" t="s">
        <v>11</v>
      </c>
      <c r="R137" s="143"/>
      <c r="S137" s="146"/>
      <c r="T137" s="24">
        <v>8000</v>
      </c>
      <c r="U137" s="56"/>
      <c r="V137" s="56"/>
      <c r="W137" s="56"/>
      <c r="X137" s="56"/>
      <c r="Y137" s="56"/>
      <c r="Z137" s="25">
        <f t="shared" si="20"/>
        <v>8000</v>
      </c>
      <c r="AA137" s="23">
        <v>2021</v>
      </c>
      <c r="AB137" s="78"/>
    </row>
    <row r="138" spans="1:29" ht="30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7" t="s">
        <v>57</v>
      </c>
      <c r="S138" s="6" t="s">
        <v>39</v>
      </c>
      <c r="T138" s="60">
        <v>2.573</v>
      </c>
      <c r="U138" s="109"/>
      <c r="V138" s="109"/>
      <c r="W138" s="109"/>
      <c r="X138" s="109"/>
      <c r="Y138" s="109"/>
      <c r="Z138" s="61">
        <f t="shared" si="20"/>
        <v>2.573</v>
      </c>
      <c r="AA138" s="6">
        <v>2021</v>
      </c>
      <c r="AB138" s="77"/>
    </row>
    <row r="139" spans="1:29" ht="19.5" customHeight="1" x14ac:dyDescent="0.25">
      <c r="A139" s="21" t="s">
        <v>10</v>
      </c>
      <c r="B139" s="21" t="s">
        <v>11</v>
      </c>
      <c r="C139" s="21" t="s">
        <v>12</v>
      </c>
      <c r="D139" s="21" t="s">
        <v>10</v>
      </c>
      <c r="E139" s="21" t="s">
        <v>20</v>
      </c>
      <c r="F139" s="21" t="s">
        <v>10</v>
      </c>
      <c r="G139" s="21" t="s">
        <v>19</v>
      </c>
      <c r="H139" s="21" t="s">
        <v>10</v>
      </c>
      <c r="I139" s="21" t="s">
        <v>18</v>
      </c>
      <c r="J139" s="21" t="s">
        <v>11</v>
      </c>
      <c r="K139" s="21" t="s">
        <v>10</v>
      </c>
      <c r="L139" s="21" t="s">
        <v>12</v>
      </c>
      <c r="M139" s="21" t="s">
        <v>10</v>
      </c>
      <c r="N139" s="21" t="s">
        <v>10</v>
      </c>
      <c r="O139" s="21" t="s">
        <v>10</v>
      </c>
      <c r="P139" s="21" t="s">
        <v>10</v>
      </c>
      <c r="Q139" s="21" t="s">
        <v>10</v>
      </c>
      <c r="R139" s="141" t="s">
        <v>136</v>
      </c>
      <c r="S139" s="144" t="s">
        <v>33</v>
      </c>
      <c r="T139" s="25">
        <f>T140+T141</f>
        <v>6760.2</v>
      </c>
      <c r="U139" s="59"/>
      <c r="V139" s="59"/>
      <c r="W139" s="59"/>
      <c r="X139" s="59"/>
      <c r="Y139" s="59"/>
      <c r="Z139" s="25">
        <f t="shared" ref="Z139:Z143" si="21">T139+U139+V139+W139+X139+Y139</f>
        <v>6760.2</v>
      </c>
      <c r="AA139" s="23">
        <v>2021</v>
      </c>
      <c r="AB139" s="78"/>
      <c r="AC139" s="43"/>
    </row>
    <row r="140" spans="1:29" ht="18" customHeight="1" x14ac:dyDescent="0.25">
      <c r="A140" s="21" t="s">
        <v>10</v>
      </c>
      <c r="B140" s="21" t="s">
        <v>11</v>
      </c>
      <c r="C140" s="21" t="s">
        <v>12</v>
      </c>
      <c r="D140" s="21" t="s">
        <v>10</v>
      </c>
      <c r="E140" s="21" t="s">
        <v>20</v>
      </c>
      <c r="F140" s="21" t="s">
        <v>10</v>
      </c>
      <c r="G140" s="21" t="s">
        <v>19</v>
      </c>
      <c r="H140" s="21" t="s">
        <v>10</v>
      </c>
      <c r="I140" s="21" t="s">
        <v>18</v>
      </c>
      <c r="J140" s="21" t="s">
        <v>11</v>
      </c>
      <c r="K140" s="21" t="s">
        <v>10</v>
      </c>
      <c r="L140" s="21" t="s">
        <v>12</v>
      </c>
      <c r="M140" s="21" t="s">
        <v>40</v>
      </c>
      <c r="N140" s="21" t="s">
        <v>10</v>
      </c>
      <c r="O140" s="21" t="s">
        <v>18</v>
      </c>
      <c r="P140" s="21" t="s">
        <v>17</v>
      </c>
      <c r="Q140" s="21" t="s">
        <v>11</v>
      </c>
      <c r="R140" s="142"/>
      <c r="S140" s="145"/>
      <c r="T140" s="24">
        <f>1690.1-1690.1</f>
        <v>0</v>
      </c>
      <c r="U140" s="56"/>
      <c r="V140" s="56"/>
      <c r="W140" s="56"/>
      <c r="X140" s="56"/>
      <c r="Y140" s="56"/>
      <c r="Z140" s="25">
        <f t="shared" si="21"/>
        <v>0</v>
      </c>
      <c r="AA140" s="23">
        <v>2021</v>
      </c>
      <c r="AB140" s="78"/>
    </row>
    <row r="141" spans="1:29" ht="21" customHeight="1" x14ac:dyDescent="0.25">
      <c r="A141" s="21" t="s">
        <v>10</v>
      </c>
      <c r="B141" s="21" t="s">
        <v>11</v>
      </c>
      <c r="C141" s="21" t="s">
        <v>12</v>
      </c>
      <c r="D141" s="21" t="s">
        <v>10</v>
      </c>
      <c r="E141" s="21" t="s">
        <v>20</v>
      </c>
      <c r="F141" s="21" t="s">
        <v>10</v>
      </c>
      <c r="G141" s="21" t="s">
        <v>19</v>
      </c>
      <c r="H141" s="21" t="s">
        <v>10</v>
      </c>
      <c r="I141" s="21" t="s">
        <v>18</v>
      </c>
      <c r="J141" s="21" t="s">
        <v>11</v>
      </c>
      <c r="K141" s="21" t="s">
        <v>10</v>
      </c>
      <c r="L141" s="21" t="s">
        <v>12</v>
      </c>
      <c r="M141" s="21" t="s">
        <v>11</v>
      </c>
      <c r="N141" s="21" t="s">
        <v>10</v>
      </c>
      <c r="O141" s="21" t="s">
        <v>18</v>
      </c>
      <c r="P141" s="21" t="s">
        <v>17</v>
      </c>
      <c r="Q141" s="21" t="s">
        <v>11</v>
      </c>
      <c r="R141" s="143"/>
      <c r="S141" s="146"/>
      <c r="T141" s="24">
        <v>6760.2</v>
      </c>
      <c r="U141" s="56"/>
      <c r="V141" s="56"/>
      <c r="W141" s="56"/>
      <c r="X141" s="56"/>
      <c r="Y141" s="56"/>
      <c r="Z141" s="25">
        <f t="shared" si="21"/>
        <v>6760.2</v>
      </c>
      <c r="AA141" s="23">
        <v>2021</v>
      </c>
      <c r="AB141" s="78"/>
    </row>
    <row r="142" spans="1:29" ht="30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7" t="s">
        <v>107</v>
      </c>
      <c r="S142" s="6" t="s">
        <v>2</v>
      </c>
      <c r="T142" s="60">
        <v>0.24199999999999999</v>
      </c>
      <c r="U142" s="109"/>
      <c r="V142" s="109"/>
      <c r="W142" s="109"/>
      <c r="X142" s="109"/>
      <c r="Y142" s="109"/>
      <c r="Z142" s="61">
        <f t="shared" si="21"/>
        <v>0.24199999999999999</v>
      </c>
      <c r="AA142" s="6">
        <v>2021</v>
      </c>
      <c r="AB142" s="77"/>
    </row>
    <row r="143" spans="1:29" ht="30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7" t="s">
        <v>122</v>
      </c>
      <c r="S143" s="6" t="s">
        <v>39</v>
      </c>
      <c r="T143" s="60">
        <v>0.48399999999999999</v>
      </c>
      <c r="U143" s="109"/>
      <c r="V143" s="109"/>
      <c r="W143" s="109"/>
      <c r="X143" s="109"/>
      <c r="Y143" s="109"/>
      <c r="Z143" s="61">
        <f t="shared" si="21"/>
        <v>0.48399999999999999</v>
      </c>
      <c r="AA143" s="6">
        <v>2021</v>
      </c>
      <c r="AB143" s="77"/>
    </row>
    <row r="144" spans="1:29" ht="19.5" customHeight="1" x14ac:dyDescent="0.25">
      <c r="A144" s="21" t="s">
        <v>10</v>
      </c>
      <c r="B144" s="21" t="s">
        <v>11</v>
      </c>
      <c r="C144" s="21" t="s">
        <v>12</v>
      </c>
      <c r="D144" s="21" t="s">
        <v>10</v>
      </c>
      <c r="E144" s="21" t="s">
        <v>20</v>
      </c>
      <c r="F144" s="21" t="s">
        <v>10</v>
      </c>
      <c r="G144" s="21" t="s">
        <v>19</v>
      </c>
      <c r="H144" s="21" t="s">
        <v>10</v>
      </c>
      <c r="I144" s="21" t="s">
        <v>18</v>
      </c>
      <c r="J144" s="21" t="s">
        <v>11</v>
      </c>
      <c r="K144" s="21" t="s">
        <v>10</v>
      </c>
      <c r="L144" s="21" t="s">
        <v>12</v>
      </c>
      <c r="M144" s="21" t="s">
        <v>10</v>
      </c>
      <c r="N144" s="21" t="s">
        <v>10</v>
      </c>
      <c r="O144" s="21" t="s">
        <v>10</v>
      </c>
      <c r="P144" s="21" t="s">
        <v>10</v>
      </c>
      <c r="Q144" s="21" t="s">
        <v>10</v>
      </c>
      <c r="R144" s="141" t="s">
        <v>139</v>
      </c>
      <c r="S144" s="144" t="s">
        <v>33</v>
      </c>
      <c r="T144" s="25">
        <f>T145+T146</f>
        <v>33611.9</v>
      </c>
      <c r="U144" s="59"/>
      <c r="V144" s="59"/>
      <c r="W144" s="59"/>
      <c r="X144" s="59"/>
      <c r="Y144" s="59"/>
      <c r="Z144" s="25">
        <f t="shared" ref="Z144:Z148" si="22">T144+U144+V144+W144+X144+Y144</f>
        <v>33611.9</v>
      </c>
      <c r="AA144" s="23">
        <v>2021</v>
      </c>
      <c r="AB144" s="78"/>
      <c r="AC144" s="43"/>
    </row>
    <row r="145" spans="1:31" ht="18" customHeight="1" x14ac:dyDescent="0.25">
      <c r="A145" s="21" t="s">
        <v>10</v>
      </c>
      <c r="B145" s="21" t="s">
        <v>11</v>
      </c>
      <c r="C145" s="21" t="s">
        <v>12</v>
      </c>
      <c r="D145" s="21" t="s">
        <v>10</v>
      </c>
      <c r="E145" s="21" t="s">
        <v>20</v>
      </c>
      <c r="F145" s="21" t="s">
        <v>10</v>
      </c>
      <c r="G145" s="21" t="s">
        <v>19</v>
      </c>
      <c r="H145" s="21" t="s">
        <v>10</v>
      </c>
      <c r="I145" s="21" t="s">
        <v>18</v>
      </c>
      <c r="J145" s="21" t="s">
        <v>11</v>
      </c>
      <c r="K145" s="21" t="s">
        <v>10</v>
      </c>
      <c r="L145" s="21" t="s">
        <v>12</v>
      </c>
      <c r="M145" s="21" t="s">
        <v>40</v>
      </c>
      <c r="N145" s="21" t="s">
        <v>10</v>
      </c>
      <c r="O145" s="21" t="s">
        <v>18</v>
      </c>
      <c r="P145" s="21" t="s">
        <v>17</v>
      </c>
      <c r="Q145" s="21" t="s">
        <v>11</v>
      </c>
      <c r="R145" s="142"/>
      <c r="S145" s="145"/>
      <c r="T145" s="24">
        <f>7410.7-3441.6</f>
        <v>3969.1</v>
      </c>
      <c r="U145" s="56"/>
      <c r="V145" s="56"/>
      <c r="W145" s="56"/>
      <c r="X145" s="56"/>
      <c r="Y145" s="56"/>
      <c r="Z145" s="25">
        <f t="shared" si="22"/>
        <v>3969.1</v>
      </c>
      <c r="AA145" s="23">
        <v>2021</v>
      </c>
      <c r="AB145" s="78"/>
    </row>
    <row r="146" spans="1:31" ht="24" customHeight="1" x14ac:dyDescent="0.25">
      <c r="A146" s="21" t="s">
        <v>10</v>
      </c>
      <c r="B146" s="21" t="s">
        <v>11</v>
      </c>
      <c r="C146" s="21" t="s">
        <v>12</v>
      </c>
      <c r="D146" s="21" t="s">
        <v>10</v>
      </c>
      <c r="E146" s="21" t="s">
        <v>20</v>
      </c>
      <c r="F146" s="21" t="s">
        <v>10</v>
      </c>
      <c r="G146" s="21" t="s">
        <v>19</v>
      </c>
      <c r="H146" s="21" t="s">
        <v>10</v>
      </c>
      <c r="I146" s="21" t="s">
        <v>18</v>
      </c>
      <c r="J146" s="21" t="s">
        <v>11</v>
      </c>
      <c r="K146" s="21" t="s">
        <v>10</v>
      </c>
      <c r="L146" s="21" t="s">
        <v>12</v>
      </c>
      <c r="M146" s="21" t="s">
        <v>11</v>
      </c>
      <c r="N146" s="21" t="s">
        <v>10</v>
      </c>
      <c r="O146" s="21" t="s">
        <v>18</v>
      </c>
      <c r="P146" s="21" t="s">
        <v>17</v>
      </c>
      <c r="Q146" s="21" t="s">
        <v>11</v>
      </c>
      <c r="R146" s="143"/>
      <c r="S146" s="146"/>
      <c r="T146" s="24">
        <v>29642.799999999999</v>
      </c>
      <c r="U146" s="56"/>
      <c r="V146" s="56"/>
      <c r="W146" s="56"/>
      <c r="X146" s="56"/>
      <c r="Y146" s="56"/>
      <c r="Z146" s="25">
        <f t="shared" si="22"/>
        <v>29642.799999999999</v>
      </c>
      <c r="AA146" s="23">
        <v>2021</v>
      </c>
      <c r="AB146" s="78"/>
    </row>
    <row r="147" spans="1:31" ht="30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7" t="s">
        <v>107</v>
      </c>
      <c r="S147" s="6" t="s">
        <v>2</v>
      </c>
      <c r="T147" s="60">
        <v>0.32400000000000001</v>
      </c>
      <c r="U147" s="109"/>
      <c r="V147" s="109"/>
      <c r="W147" s="109"/>
      <c r="X147" s="109"/>
      <c r="Y147" s="109"/>
      <c r="Z147" s="61">
        <f t="shared" si="22"/>
        <v>0.32400000000000001</v>
      </c>
      <c r="AA147" s="6">
        <v>2021</v>
      </c>
      <c r="AB147" s="77"/>
    </row>
    <row r="148" spans="1:31" ht="30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7" t="s">
        <v>122</v>
      </c>
      <c r="S148" s="6" t="s">
        <v>39</v>
      </c>
      <c r="T148" s="60">
        <v>0.67500000000000004</v>
      </c>
      <c r="U148" s="109"/>
      <c r="V148" s="109"/>
      <c r="W148" s="109"/>
      <c r="X148" s="109"/>
      <c r="Y148" s="109"/>
      <c r="Z148" s="61">
        <f t="shared" si="22"/>
        <v>0.67500000000000004</v>
      </c>
      <c r="AA148" s="6">
        <v>2021</v>
      </c>
      <c r="AB148" s="77"/>
    </row>
    <row r="149" spans="1:31" s="16" customFormat="1" ht="22.15" customHeight="1" x14ac:dyDescent="0.25">
      <c r="A149" s="21" t="s">
        <v>10</v>
      </c>
      <c r="B149" s="21" t="s">
        <v>11</v>
      </c>
      <c r="C149" s="21" t="s">
        <v>12</v>
      </c>
      <c r="D149" s="21" t="s">
        <v>10</v>
      </c>
      <c r="E149" s="21" t="s">
        <v>20</v>
      </c>
      <c r="F149" s="21" t="s">
        <v>10</v>
      </c>
      <c r="G149" s="21" t="s">
        <v>19</v>
      </c>
      <c r="H149" s="21" t="s">
        <v>10</v>
      </c>
      <c r="I149" s="21" t="s">
        <v>18</v>
      </c>
      <c r="J149" s="21" t="s">
        <v>11</v>
      </c>
      <c r="K149" s="21" t="s">
        <v>10</v>
      </c>
      <c r="L149" s="21" t="s">
        <v>12</v>
      </c>
      <c r="M149" s="21" t="s">
        <v>10</v>
      </c>
      <c r="N149" s="21" t="s">
        <v>10</v>
      </c>
      <c r="O149" s="21" t="s">
        <v>10</v>
      </c>
      <c r="P149" s="21" t="s">
        <v>10</v>
      </c>
      <c r="Q149" s="21" t="s">
        <v>10</v>
      </c>
      <c r="R149" s="148" t="s">
        <v>147</v>
      </c>
      <c r="S149" s="144" t="s">
        <v>33</v>
      </c>
      <c r="T149" s="25"/>
      <c r="U149" s="25">
        <f>U150+U151</f>
        <v>29404.9</v>
      </c>
      <c r="V149" s="59"/>
      <c r="W149" s="110"/>
      <c r="X149" s="110"/>
      <c r="Y149" s="59"/>
      <c r="Z149" s="25">
        <f>Z150+Z151</f>
        <v>29404.9</v>
      </c>
      <c r="AA149" s="23">
        <v>2022</v>
      </c>
      <c r="AB149" s="73"/>
      <c r="AC149" s="63"/>
      <c r="AD149" s="64"/>
      <c r="AE149" s="65"/>
    </row>
    <row r="150" spans="1:31" s="16" customFormat="1" ht="21.6" customHeight="1" x14ac:dyDescent="0.25">
      <c r="A150" s="21" t="s">
        <v>10</v>
      </c>
      <c r="B150" s="21" t="s">
        <v>11</v>
      </c>
      <c r="C150" s="21" t="s">
        <v>12</v>
      </c>
      <c r="D150" s="21" t="s">
        <v>10</v>
      </c>
      <c r="E150" s="21" t="s">
        <v>20</v>
      </c>
      <c r="F150" s="21" t="s">
        <v>10</v>
      </c>
      <c r="G150" s="21" t="s">
        <v>19</v>
      </c>
      <c r="H150" s="21" t="s">
        <v>10</v>
      </c>
      <c r="I150" s="21" t="s">
        <v>18</v>
      </c>
      <c r="J150" s="21" t="s">
        <v>11</v>
      </c>
      <c r="K150" s="21" t="s">
        <v>10</v>
      </c>
      <c r="L150" s="21" t="s">
        <v>12</v>
      </c>
      <c r="M150" s="21" t="s">
        <v>40</v>
      </c>
      <c r="N150" s="21" t="s">
        <v>10</v>
      </c>
      <c r="O150" s="21" t="s">
        <v>18</v>
      </c>
      <c r="P150" s="21" t="s">
        <v>17</v>
      </c>
      <c r="Q150" s="21" t="s">
        <v>11</v>
      </c>
      <c r="R150" s="149"/>
      <c r="S150" s="145"/>
      <c r="T150" s="25"/>
      <c r="U150" s="24">
        <f>6062.9-181.9</f>
        <v>5881</v>
      </c>
      <c r="V150" s="56"/>
      <c r="W150" s="56"/>
      <c r="X150" s="56"/>
      <c r="Y150" s="59"/>
      <c r="Z150" s="25">
        <f>U150+V150</f>
        <v>5881</v>
      </c>
      <c r="AA150" s="23">
        <v>2022</v>
      </c>
      <c r="AB150" s="73"/>
      <c r="AC150" s="63"/>
      <c r="AD150" s="64"/>
      <c r="AE150" s="65"/>
    </row>
    <row r="151" spans="1:31" s="16" customFormat="1" ht="19.149999999999999" customHeight="1" x14ac:dyDescent="0.25">
      <c r="A151" s="21" t="s">
        <v>10</v>
      </c>
      <c r="B151" s="21" t="s">
        <v>11</v>
      </c>
      <c r="C151" s="21" t="s">
        <v>12</v>
      </c>
      <c r="D151" s="21" t="s">
        <v>10</v>
      </c>
      <c r="E151" s="21" t="s">
        <v>20</v>
      </c>
      <c r="F151" s="21" t="s">
        <v>10</v>
      </c>
      <c r="G151" s="21" t="s">
        <v>19</v>
      </c>
      <c r="H151" s="21" t="s">
        <v>10</v>
      </c>
      <c r="I151" s="21" t="s">
        <v>18</v>
      </c>
      <c r="J151" s="21" t="s">
        <v>11</v>
      </c>
      <c r="K151" s="21" t="s">
        <v>10</v>
      </c>
      <c r="L151" s="21" t="s">
        <v>12</v>
      </c>
      <c r="M151" s="21" t="s">
        <v>11</v>
      </c>
      <c r="N151" s="21" t="s">
        <v>10</v>
      </c>
      <c r="O151" s="21" t="s">
        <v>18</v>
      </c>
      <c r="P151" s="21" t="s">
        <v>17</v>
      </c>
      <c r="Q151" s="21" t="s">
        <v>11</v>
      </c>
      <c r="R151" s="150"/>
      <c r="S151" s="146"/>
      <c r="T151" s="25"/>
      <c r="U151" s="24">
        <f>24251.4-727.5</f>
        <v>23523.9</v>
      </c>
      <c r="V151" s="110"/>
      <c r="W151" s="110"/>
      <c r="X151" s="110"/>
      <c r="Y151" s="59"/>
      <c r="Z151" s="25">
        <f>U151+V151</f>
        <v>23523.9</v>
      </c>
      <c r="AA151" s="23">
        <v>2022</v>
      </c>
      <c r="AB151" s="73"/>
      <c r="AC151" s="63"/>
      <c r="AD151" s="64"/>
      <c r="AE151" s="65"/>
    </row>
    <row r="152" spans="1:31" ht="32.2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25" t="s">
        <v>57</v>
      </c>
      <c r="S152" s="6" t="s">
        <v>39</v>
      </c>
      <c r="T152" s="60"/>
      <c r="U152" s="60">
        <v>2.7839999999999998</v>
      </c>
      <c r="V152" s="109"/>
      <c r="W152" s="109"/>
      <c r="X152" s="109"/>
      <c r="Y152" s="109"/>
      <c r="Z152" s="61">
        <f>U152</f>
        <v>2.7839999999999998</v>
      </c>
      <c r="AA152" s="6">
        <v>2022</v>
      </c>
      <c r="AB152" s="77"/>
    </row>
    <row r="153" spans="1:31" s="16" customFormat="1" ht="19.5" customHeight="1" x14ac:dyDescent="0.25">
      <c r="A153" s="21" t="s">
        <v>10</v>
      </c>
      <c r="B153" s="21" t="s">
        <v>11</v>
      </c>
      <c r="C153" s="21" t="s">
        <v>12</v>
      </c>
      <c r="D153" s="21" t="s">
        <v>10</v>
      </c>
      <c r="E153" s="21" t="s">
        <v>20</v>
      </c>
      <c r="F153" s="21" t="s">
        <v>10</v>
      </c>
      <c r="G153" s="21" t="s">
        <v>19</v>
      </c>
      <c r="H153" s="21" t="s">
        <v>10</v>
      </c>
      <c r="I153" s="21" t="s">
        <v>18</v>
      </c>
      <c r="J153" s="21" t="s">
        <v>11</v>
      </c>
      <c r="K153" s="21" t="s">
        <v>10</v>
      </c>
      <c r="L153" s="21" t="s">
        <v>12</v>
      </c>
      <c r="M153" s="21" t="s">
        <v>10</v>
      </c>
      <c r="N153" s="21" t="s">
        <v>10</v>
      </c>
      <c r="O153" s="21" t="s">
        <v>10</v>
      </c>
      <c r="P153" s="21" t="s">
        <v>10</v>
      </c>
      <c r="Q153" s="21" t="s">
        <v>10</v>
      </c>
      <c r="R153" s="148" t="s">
        <v>148</v>
      </c>
      <c r="S153" s="144" t="s">
        <v>33</v>
      </c>
      <c r="T153" s="25"/>
      <c r="U153" s="25">
        <f>U154+U155</f>
        <v>18539.3</v>
      </c>
      <c r="V153" s="59"/>
      <c r="W153" s="110"/>
      <c r="X153" s="110"/>
      <c r="Y153" s="59"/>
      <c r="Z153" s="25">
        <f>Z154+Z155</f>
        <v>18539.3</v>
      </c>
      <c r="AA153" s="23">
        <v>2022</v>
      </c>
      <c r="AB153" s="73"/>
      <c r="AC153" s="63"/>
      <c r="AD153" s="64"/>
      <c r="AE153" s="65"/>
    </row>
    <row r="154" spans="1:31" s="16" customFormat="1" ht="19.149999999999999" customHeight="1" x14ac:dyDescent="0.25">
      <c r="A154" s="21" t="s">
        <v>10</v>
      </c>
      <c r="B154" s="21" t="s">
        <v>11</v>
      </c>
      <c r="C154" s="21" t="s">
        <v>12</v>
      </c>
      <c r="D154" s="21" t="s">
        <v>10</v>
      </c>
      <c r="E154" s="21" t="s">
        <v>20</v>
      </c>
      <c r="F154" s="21" t="s">
        <v>10</v>
      </c>
      <c r="G154" s="21" t="s">
        <v>19</v>
      </c>
      <c r="H154" s="21" t="s">
        <v>10</v>
      </c>
      <c r="I154" s="21" t="s">
        <v>18</v>
      </c>
      <c r="J154" s="21" t="s">
        <v>11</v>
      </c>
      <c r="K154" s="21" t="s">
        <v>10</v>
      </c>
      <c r="L154" s="21" t="s">
        <v>12</v>
      </c>
      <c r="M154" s="21" t="s">
        <v>40</v>
      </c>
      <c r="N154" s="21" t="s">
        <v>10</v>
      </c>
      <c r="O154" s="21" t="s">
        <v>18</v>
      </c>
      <c r="P154" s="21" t="s">
        <v>17</v>
      </c>
      <c r="Q154" s="21" t="s">
        <v>11</v>
      </c>
      <c r="R154" s="149"/>
      <c r="S154" s="145"/>
      <c r="T154" s="25"/>
      <c r="U154" s="24">
        <f>3822.6-114.7</f>
        <v>3707.9</v>
      </c>
      <c r="V154" s="56"/>
      <c r="W154" s="56"/>
      <c r="X154" s="56"/>
      <c r="Y154" s="59"/>
      <c r="Z154" s="25">
        <f>U154+V154</f>
        <v>3707.9</v>
      </c>
      <c r="AA154" s="23">
        <v>2022</v>
      </c>
      <c r="AB154" s="73"/>
      <c r="AC154" s="63"/>
      <c r="AD154" s="64"/>
      <c r="AE154" s="65"/>
    </row>
    <row r="155" spans="1:31" s="16" customFormat="1" ht="18" customHeight="1" x14ac:dyDescent="0.25">
      <c r="A155" s="21" t="s">
        <v>10</v>
      </c>
      <c r="B155" s="21" t="s">
        <v>11</v>
      </c>
      <c r="C155" s="21" t="s">
        <v>12</v>
      </c>
      <c r="D155" s="21" t="s">
        <v>10</v>
      </c>
      <c r="E155" s="21" t="s">
        <v>20</v>
      </c>
      <c r="F155" s="21" t="s">
        <v>10</v>
      </c>
      <c r="G155" s="21" t="s">
        <v>19</v>
      </c>
      <c r="H155" s="21" t="s">
        <v>10</v>
      </c>
      <c r="I155" s="21" t="s">
        <v>18</v>
      </c>
      <c r="J155" s="21" t="s">
        <v>11</v>
      </c>
      <c r="K155" s="21" t="s">
        <v>10</v>
      </c>
      <c r="L155" s="21" t="s">
        <v>12</v>
      </c>
      <c r="M155" s="21" t="s">
        <v>11</v>
      </c>
      <c r="N155" s="21" t="s">
        <v>10</v>
      </c>
      <c r="O155" s="21" t="s">
        <v>18</v>
      </c>
      <c r="P155" s="21" t="s">
        <v>17</v>
      </c>
      <c r="Q155" s="21" t="s">
        <v>11</v>
      </c>
      <c r="R155" s="150"/>
      <c r="S155" s="146"/>
      <c r="T155" s="25"/>
      <c r="U155" s="24">
        <f>15290.1-458.7</f>
        <v>14831.4</v>
      </c>
      <c r="V155" s="110"/>
      <c r="W155" s="110"/>
      <c r="X155" s="110"/>
      <c r="Y155" s="59"/>
      <c r="Z155" s="25">
        <f>U155+V155</f>
        <v>14831.4</v>
      </c>
      <c r="AA155" s="23">
        <v>2022</v>
      </c>
      <c r="AB155" s="73"/>
      <c r="AC155" s="63"/>
      <c r="AD155" s="64"/>
      <c r="AE155" s="65"/>
    </row>
    <row r="156" spans="1:31" ht="33.7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25" t="s">
        <v>57</v>
      </c>
      <c r="S156" s="6" t="s">
        <v>39</v>
      </c>
      <c r="T156" s="60"/>
      <c r="U156" s="60">
        <v>1.746</v>
      </c>
      <c r="V156" s="109"/>
      <c r="W156" s="109"/>
      <c r="X156" s="109"/>
      <c r="Y156" s="109"/>
      <c r="Z156" s="61">
        <f>U156</f>
        <v>1.746</v>
      </c>
      <c r="AA156" s="6">
        <v>2022</v>
      </c>
      <c r="AB156" s="77"/>
    </row>
    <row r="157" spans="1:31" s="16" customFormat="1" ht="17.25" customHeight="1" x14ac:dyDescent="0.25">
      <c r="A157" s="21" t="s">
        <v>10</v>
      </c>
      <c r="B157" s="21" t="s">
        <v>11</v>
      </c>
      <c r="C157" s="21" t="s">
        <v>12</v>
      </c>
      <c r="D157" s="21" t="s">
        <v>10</v>
      </c>
      <c r="E157" s="21" t="s">
        <v>20</v>
      </c>
      <c r="F157" s="21" t="s">
        <v>10</v>
      </c>
      <c r="G157" s="21" t="s">
        <v>19</v>
      </c>
      <c r="H157" s="21" t="s">
        <v>10</v>
      </c>
      <c r="I157" s="21" t="s">
        <v>18</v>
      </c>
      <c r="J157" s="21" t="s">
        <v>11</v>
      </c>
      <c r="K157" s="21" t="s">
        <v>10</v>
      </c>
      <c r="L157" s="21" t="s">
        <v>12</v>
      </c>
      <c r="M157" s="21" t="s">
        <v>10</v>
      </c>
      <c r="N157" s="21" t="s">
        <v>10</v>
      </c>
      <c r="O157" s="21" t="s">
        <v>10</v>
      </c>
      <c r="P157" s="21" t="s">
        <v>10</v>
      </c>
      <c r="Q157" s="21" t="s">
        <v>10</v>
      </c>
      <c r="R157" s="148" t="s">
        <v>149</v>
      </c>
      <c r="S157" s="144" t="s">
        <v>33</v>
      </c>
      <c r="T157" s="25"/>
      <c r="U157" s="25">
        <f>U158+U159</f>
        <v>17978.5</v>
      </c>
      <c r="V157" s="59"/>
      <c r="W157" s="110"/>
      <c r="X157" s="110"/>
      <c r="Y157" s="59"/>
      <c r="Z157" s="25">
        <f>Z158+Z159</f>
        <v>17978.5</v>
      </c>
      <c r="AA157" s="23">
        <v>2022</v>
      </c>
      <c r="AB157" s="73"/>
      <c r="AC157" s="63"/>
      <c r="AD157" s="64"/>
      <c r="AE157" s="65"/>
    </row>
    <row r="158" spans="1:31" s="16" customFormat="1" ht="18" customHeight="1" x14ac:dyDescent="0.25">
      <c r="A158" s="21" t="s">
        <v>10</v>
      </c>
      <c r="B158" s="21" t="s">
        <v>11</v>
      </c>
      <c r="C158" s="21" t="s">
        <v>12</v>
      </c>
      <c r="D158" s="21" t="s">
        <v>10</v>
      </c>
      <c r="E158" s="21" t="s">
        <v>20</v>
      </c>
      <c r="F158" s="21" t="s">
        <v>10</v>
      </c>
      <c r="G158" s="21" t="s">
        <v>19</v>
      </c>
      <c r="H158" s="21" t="s">
        <v>10</v>
      </c>
      <c r="I158" s="21" t="s">
        <v>18</v>
      </c>
      <c r="J158" s="21" t="s">
        <v>11</v>
      </c>
      <c r="K158" s="21" t="s">
        <v>10</v>
      </c>
      <c r="L158" s="21" t="s">
        <v>12</v>
      </c>
      <c r="M158" s="21" t="s">
        <v>40</v>
      </c>
      <c r="N158" s="21" t="s">
        <v>10</v>
      </c>
      <c r="O158" s="21" t="s">
        <v>18</v>
      </c>
      <c r="P158" s="21" t="s">
        <v>17</v>
      </c>
      <c r="Q158" s="21" t="s">
        <v>11</v>
      </c>
      <c r="R158" s="149"/>
      <c r="S158" s="145"/>
      <c r="T158" s="25"/>
      <c r="U158" s="24">
        <f>4025-429.3</f>
        <v>3595.7</v>
      </c>
      <c r="V158" s="56"/>
      <c r="W158" s="56"/>
      <c r="X158" s="56"/>
      <c r="Y158" s="59"/>
      <c r="Z158" s="25">
        <f>U158+V158</f>
        <v>3595.7</v>
      </c>
      <c r="AA158" s="23">
        <v>2022</v>
      </c>
      <c r="AB158" s="73"/>
      <c r="AC158" s="63"/>
      <c r="AD158" s="64"/>
      <c r="AE158" s="65"/>
    </row>
    <row r="159" spans="1:31" s="16" customFormat="1" ht="19.5" customHeight="1" x14ac:dyDescent="0.25">
      <c r="A159" s="21" t="s">
        <v>10</v>
      </c>
      <c r="B159" s="21" t="s">
        <v>11</v>
      </c>
      <c r="C159" s="21" t="s">
        <v>12</v>
      </c>
      <c r="D159" s="21" t="s">
        <v>10</v>
      </c>
      <c r="E159" s="21" t="s">
        <v>20</v>
      </c>
      <c r="F159" s="21" t="s">
        <v>10</v>
      </c>
      <c r="G159" s="21" t="s">
        <v>19</v>
      </c>
      <c r="H159" s="21" t="s">
        <v>10</v>
      </c>
      <c r="I159" s="21" t="s">
        <v>18</v>
      </c>
      <c r="J159" s="21" t="s">
        <v>11</v>
      </c>
      <c r="K159" s="21" t="s">
        <v>10</v>
      </c>
      <c r="L159" s="21" t="s">
        <v>12</v>
      </c>
      <c r="M159" s="21" t="s">
        <v>11</v>
      </c>
      <c r="N159" s="21" t="s">
        <v>10</v>
      </c>
      <c r="O159" s="21" t="s">
        <v>18</v>
      </c>
      <c r="P159" s="21" t="s">
        <v>17</v>
      </c>
      <c r="Q159" s="21" t="s">
        <v>11</v>
      </c>
      <c r="R159" s="150"/>
      <c r="S159" s="146"/>
      <c r="T159" s="25"/>
      <c r="U159" s="24">
        <f>16100.6-1645.6-72.2</f>
        <v>14382.8</v>
      </c>
      <c r="V159" s="110"/>
      <c r="W159" s="110"/>
      <c r="X159" s="110"/>
      <c r="Y159" s="59"/>
      <c r="Z159" s="25">
        <f>U159+V159</f>
        <v>14382.8</v>
      </c>
      <c r="AA159" s="23">
        <v>2022</v>
      </c>
      <c r="AB159" s="73"/>
      <c r="AC159" s="63"/>
      <c r="AD159" s="64"/>
      <c r="AE159" s="65"/>
    </row>
    <row r="160" spans="1:31" ht="30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7" t="s">
        <v>57</v>
      </c>
      <c r="S160" s="6" t="s">
        <v>39</v>
      </c>
      <c r="T160" s="60"/>
      <c r="U160" s="60">
        <v>4.2629999999999999</v>
      </c>
      <c r="V160" s="109"/>
      <c r="W160" s="109"/>
      <c r="X160" s="109"/>
      <c r="Y160" s="109"/>
      <c r="Z160" s="61">
        <f>U160</f>
        <v>4.2629999999999999</v>
      </c>
      <c r="AA160" s="6">
        <v>2022</v>
      </c>
      <c r="AB160" s="77"/>
    </row>
    <row r="161" spans="1:31" s="16" customFormat="1" ht="18" customHeight="1" x14ac:dyDescent="0.25">
      <c r="A161" s="21" t="s">
        <v>10</v>
      </c>
      <c r="B161" s="21" t="s">
        <v>11</v>
      </c>
      <c r="C161" s="21" t="s">
        <v>12</v>
      </c>
      <c r="D161" s="21" t="s">
        <v>10</v>
      </c>
      <c r="E161" s="21" t="s">
        <v>20</v>
      </c>
      <c r="F161" s="21" t="s">
        <v>10</v>
      </c>
      <c r="G161" s="21" t="s">
        <v>19</v>
      </c>
      <c r="H161" s="21" t="s">
        <v>10</v>
      </c>
      <c r="I161" s="21" t="s">
        <v>18</v>
      </c>
      <c r="J161" s="21" t="s">
        <v>11</v>
      </c>
      <c r="K161" s="21" t="s">
        <v>10</v>
      </c>
      <c r="L161" s="21" t="s">
        <v>12</v>
      </c>
      <c r="M161" s="21" t="s">
        <v>10</v>
      </c>
      <c r="N161" s="21" t="s">
        <v>10</v>
      </c>
      <c r="O161" s="21" t="s">
        <v>10</v>
      </c>
      <c r="P161" s="21" t="s">
        <v>10</v>
      </c>
      <c r="Q161" s="21" t="s">
        <v>10</v>
      </c>
      <c r="R161" s="148" t="s">
        <v>150</v>
      </c>
      <c r="S161" s="144" t="s">
        <v>33</v>
      </c>
      <c r="T161" s="25"/>
      <c r="U161" s="25">
        <f>U162+U163</f>
        <v>10243.400000000001</v>
      </c>
      <c r="V161" s="59"/>
      <c r="W161" s="110"/>
      <c r="X161" s="110"/>
      <c r="Y161" s="59"/>
      <c r="Z161" s="25">
        <f>Z162+Z163</f>
        <v>10243.400000000001</v>
      </c>
      <c r="AA161" s="23">
        <v>2022</v>
      </c>
      <c r="AB161" s="73"/>
      <c r="AC161" s="63"/>
      <c r="AD161" s="64"/>
      <c r="AE161" s="65"/>
    </row>
    <row r="162" spans="1:31" s="16" customFormat="1" ht="18" customHeight="1" x14ac:dyDescent="0.25">
      <c r="A162" s="21" t="s">
        <v>10</v>
      </c>
      <c r="B162" s="21" t="s">
        <v>11</v>
      </c>
      <c r="C162" s="21" t="s">
        <v>12</v>
      </c>
      <c r="D162" s="21" t="s">
        <v>10</v>
      </c>
      <c r="E162" s="21" t="s">
        <v>20</v>
      </c>
      <c r="F162" s="21" t="s">
        <v>10</v>
      </c>
      <c r="G162" s="21" t="s">
        <v>19</v>
      </c>
      <c r="H162" s="21" t="s">
        <v>10</v>
      </c>
      <c r="I162" s="21" t="s">
        <v>18</v>
      </c>
      <c r="J162" s="21" t="s">
        <v>11</v>
      </c>
      <c r="K162" s="21" t="s">
        <v>10</v>
      </c>
      <c r="L162" s="21" t="s">
        <v>12</v>
      </c>
      <c r="M162" s="21" t="s">
        <v>40</v>
      </c>
      <c r="N162" s="21" t="s">
        <v>10</v>
      </c>
      <c r="O162" s="21" t="s">
        <v>18</v>
      </c>
      <c r="P162" s="21" t="s">
        <v>17</v>
      </c>
      <c r="Q162" s="21" t="s">
        <v>11</v>
      </c>
      <c r="R162" s="149"/>
      <c r="S162" s="145"/>
      <c r="T162" s="25"/>
      <c r="U162" s="24">
        <f>2658.7-610</f>
        <v>2048.6999999999998</v>
      </c>
      <c r="V162" s="56"/>
      <c r="W162" s="56"/>
      <c r="X162" s="56"/>
      <c r="Y162" s="59"/>
      <c r="Z162" s="25">
        <f>U162+V162</f>
        <v>2048.6999999999998</v>
      </c>
      <c r="AA162" s="23">
        <v>2022</v>
      </c>
      <c r="AB162" s="73"/>
      <c r="AC162" s="63"/>
      <c r="AD162" s="64"/>
      <c r="AE162" s="65"/>
    </row>
    <row r="163" spans="1:31" s="16" customFormat="1" ht="21.75" customHeight="1" x14ac:dyDescent="0.25">
      <c r="A163" s="21" t="s">
        <v>10</v>
      </c>
      <c r="B163" s="21" t="s">
        <v>11</v>
      </c>
      <c r="C163" s="21" t="s">
        <v>12</v>
      </c>
      <c r="D163" s="21" t="s">
        <v>10</v>
      </c>
      <c r="E163" s="21" t="s">
        <v>20</v>
      </c>
      <c r="F163" s="21" t="s">
        <v>10</v>
      </c>
      <c r="G163" s="21" t="s">
        <v>19</v>
      </c>
      <c r="H163" s="21" t="s">
        <v>10</v>
      </c>
      <c r="I163" s="21" t="s">
        <v>18</v>
      </c>
      <c r="J163" s="21" t="s">
        <v>11</v>
      </c>
      <c r="K163" s="21" t="s">
        <v>10</v>
      </c>
      <c r="L163" s="21" t="s">
        <v>12</v>
      </c>
      <c r="M163" s="21" t="s">
        <v>11</v>
      </c>
      <c r="N163" s="21" t="s">
        <v>10</v>
      </c>
      <c r="O163" s="21" t="s">
        <v>18</v>
      </c>
      <c r="P163" s="21" t="s">
        <v>17</v>
      </c>
      <c r="Q163" s="21" t="s">
        <v>11</v>
      </c>
      <c r="R163" s="150"/>
      <c r="S163" s="146"/>
      <c r="T163" s="25"/>
      <c r="U163" s="24">
        <f>10635-1161.4-1278.9</f>
        <v>8194.7000000000007</v>
      </c>
      <c r="V163" s="110"/>
      <c r="W163" s="110"/>
      <c r="X163" s="110"/>
      <c r="Y163" s="59"/>
      <c r="Z163" s="25">
        <f>U163+V163</f>
        <v>8194.7000000000007</v>
      </c>
      <c r="AA163" s="23">
        <v>2022</v>
      </c>
      <c r="AB163" s="73"/>
      <c r="AC163" s="63"/>
      <c r="AD163" s="64"/>
      <c r="AE163" s="65"/>
    </row>
    <row r="164" spans="1:31" ht="30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7" t="s">
        <v>57</v>
      </c>
      <c r="S164" s="6" t="s">
        <v>39</v>
      </c>
      <c r="T164" s="60"/>
      <c r="U164" s="60">
        <v>2.1360000000000001</v>
      </c>
      <c r="V164" s="109"/>
      <c r="W164" s="109"/>
      <c r="X164" s="109"/>
      <c r="Y164" s="109"/>
      <c r="Z164" s="61">
        <f>U164</f>
        <v>2.1360000000000001</v>
      </c>
      <c r="AA164" s="6">
        <v>2022</v>
      </c>
      <c r="AB164" s="77"/>
    </row>
    <row r="165" spans="1:31" s="16" customFormat="1" ht="17.25" customHeight="1" x14ac:dyDescent="0.25">
      <c r="A165" s="21" t="s">
        <v>10</v>
      </c>
      <c r="B165" s="21" t="s">
        <v>11</v>
      </c>
      <c r="C165" s="21" t="s">
        <v>12</v>
      </c>
      <c r="D165" s="21" t="s">
        <v>10</v>
      </c>
      <c r="E165" s="21" t="s">
        <v>20</v>
      </c>
      <c r="F165" s="21" t="s">
        <v>10</v>
      </c>
      <c r="G165" s="21" t="s">
        <v>19</v>
      </c>
      <c r="H165" s="21" t="s">
        <v>10</v>
      </c>
      <c r="I165" s="21" t="s">
        <v>18</v>
      </c>
      <c r="J165" s="21" t="s">
        <v>11</v>
      </c>
      <c r="K165" s="21" t="s">
        <v>10</v>
      </c>
      <c r="L165" s="21" t="s">
        <v>12</v>
      </c>
      <c r="M165" s="21" t="s">
        <v>10</v>
      </c>
      <c r="N165" s="21" t="s">
        <v>10</v>
      </c>
      <c r="O165" s="21" t="s">
        <v>10</v>
      </c>
      <c r="P165" s="21" t="s">
        <v>10</v>
      </c>
      <c r="Q165" s="21" t="s">
        <v>10</v>
      </c>
      <c r="R165" s="148" t="s">
        <v>151</v>
      </c>
      <c r="S165" s="144" t="s">
        <v>33</v>
      </c>
      <c r="T165" s="25"/>
      <c r="U165" s="25">
        <f>U166+U167</f>
        <v>7617.4999999999991</v>
      </c>
      <c r="V165" s="59"/>
      <c r="W165" s="110"/>
      <c r="X165" s="110"/>
      <c r="Y165" s="59"/>
      <c r="Z165" s="25">
        <f>Z166+Z167</f>
        <v>7617.4999999999991</v>
      </c>
      <c r="AA165" s="23">
        <v>2022</v>
      </c>
      <c r="AB165" s="73"/>
      <c r="AC165" s="63"/>
      <c r="AD165" s="64"/>
      <c r="AE165" s="65"/>
    </row>
    <row r="166" spans="1:31" s="16" customFormat="1" ht="20.25" customHeight="1" x14ac:dyDescent="0.25">
      <c r="A166" s="21" t="s">
        <v>10</v>
      </c>
      <c r="B166" s="21" t="s">
        <v>11</v>
      </c>
      <c r="C166" s="21" t="s">
        <v>12</v>
      </c>
      <c r="D166" s="21" t="s">
        <v>10</v>
      </c>
      <c r="E166" s="21" t="s">
        <v>20</v>
      </c>
      <c r="F166" s="21" t="s">
        <v>10</v>
      </c>
      <c r="G166" s="21" t="s">
        <v>19</v>
      </c>
      <c r="H166" s="21" t="s">
        <v>10</v>
      </c>
      <c r="I166" s="21" t="s">
        <v>18</v>
      </c>
      <c r="J166" s="21" t="s">
        <v>11</v>
      </c>
      <c r="K166" s="21" t="s">
        <v>10</v>
      </c>
      <c r="L166" s="21" t="s">
        <v>12</v>
      </c>
      <c r="M166" s="21" t="s">
        <v>40</v>
      </c>
      <c r="N166" s="21" t="s">
        <v>10</v>
      </c>
      <c r="O166" s="21" t="s">
        <v>18</v>
      </c>
      <c r="P166" s="21" t="s">
        <v>17</v>
      </c>
      <c r="Q166" s="21" t="s">
        <v>11</v>
      </c>
      <c r="R166" s="149"/>
      <c r="S166" s="145"/>
      <c r="T166" s="25"/>
      <c r="U166" s="24">
        <f>1577.7-64.5</f>
        <v>1513.2</v>
      </c>
      <c r="V166" s="56"/>
      <c r="W166" s="56"/>
      <c r="X166" s="56"/>
      <c r="Y166" s="59"/>
      <c r="Z166" s="25">
        <f>U166+V166</f>
        <v>1513.2</v>
      </c>
      <c r="AA166" s="23">
        <v>2022</v>
      </c>
      <c r="AB166" s="73"/>
      <c r="AC166" s="63"/>
      <c r="AD166" s="64"/>
      <c r="AE166" s="65"/>
    </row>
    <row r="167" spans="1:31" s="16" customFormat="1" ht="19.5" customHeight="1" x14ac:dyDescent="0.25">
      <c r="A167" s="21" t="s">
        <v>10</v>
      </c>
      <c r="B167" s="21" t="s">
        <v>11</v>
      </c>
      <c r="C167" s="21" t="s">
        <v>12</v>
      </c>
      <c r="D167" s="21" t="s">
        <v>10</v>
      </c>
      <c r="E167" s="21" t="s">
        <v>20</v>
      </c>
      <c r="F167" s="21" t="s">
        <v>10</v>
      </c>
      <c r="G167" s="21" t="s">
        <v>19</v>
      </c>
      <c r="H167" s="21" t="s">
        <v>10</v>
      </c>
      <c r="I167" s="21" t="s">
        <v>18</v>
      </c>
      <c r="J167" s="21" t="s">
        <v>11</v>
      </c>
      <c r="K167" s="21" t="s">
        <v>10</v>
      </c>
      <c r="L167" s="21" t="s">
        <v>12</v>
      </c>
      <c r="M167" s="21" t="s">
        <v>11</v>
      </c>
      <c r="N167" s="21" t="s">
        <v>10</v>
      </c>
      <c r="O167" s="21" t="s">
        <v>18</v>
      </c>
      <c r="P167" s="21" t="s">
        <v>17</v>
      </c>
      <c r="Q167" s="21" t="s">
        <v>11</v>
      </c>
      <c r="R167" s="150"/>
      <c r="S167" s="146"/>
      <c r="T167" s="25"/>
      <c r="U167" s="24">
        <f>6052.7+963.7-912.1</f>
        <v>6104.2999999999993</v>
      </c>
      <c r="V167" s="110"/>
      <c r="W167" s="110"/>
      <c r="X167" s="110"/>
      <c r="Y167" s="59"/>
      <c r="Z167" s="25">
        <f>U167+V167</f>
        <v>6104.2999999999993</v>
      </c>
      <c r="AA167" s="23">
        <v>2022</v>
      </c>
      <c r="AB167" s="73"/>
      <c r="AC167" s="63"/>
      <c r="AD167" s="64"/>
      <c r="AE167" s="65"/>
    </row>
    <row r="168" spans="1:31" ht="30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7" t="s">
        <v>57</v>
      </c>
      <c r="S168" s="6" t="s">
        <v>39</v>
      </c>
      <c r="T168" s="60"/>
      <c r="U168" s="60">
        <v>1.1739999999999999</v>
      </c>
      <c r="V168" s="109"/>
      <c r="W168" s="109"/>
      <c r="X168" s="109"/>
      <c r="Y168" s="109"/>
      <c r="Z168" s="61">
        <f>U168</f>
        <v>1.1739999999999999</v>
      </c>
      <c r="AA168" s="6">
        <v>2022</v>
      </c>
      <c r="AB168" s="77"/>
    </row>
    <row r="169" spans="1:31" s="16" customFormat="1" ht="18" customHeight="1" x14ac:dyDescent="0.25">
      <c r="A169" s="21" t="s">
        <v>10</v>
      </c>
      <c r="B169" s="21" t="s">
        <v>11</v>
      </c>
      <c r="C169" s="21" t="s">
        <v>12</v>
      </c>
      <c r="D169" s="21" t="s">
        <v>10</v>
      </c>
      <c r="E169" s="21" t="s">
        <v>20</v>
      </c>
      <c r="F169" s="21" t="s">
        <v>10</v>
      </c>
      <c r="G169" s="21" t="s">
        <v>19</v>
      </c>
      <c r="H169" s="21" t="s">
        <v>10</v>
      </c>
      <c r="I169" s="21" t="s">
        <v>18</v>
      </c>
      <c r="J169" s="21" t="s">
        <v>11</v>
      </c>
      <c r="K169" s="21" t="s">
        <v>10</v>
      </c>
      <c r="L169" s="21" t="s">
        <v>12</v>
      </c>
      <c r="M169" s="21" t="s">
        <v>10</v>
      </c>
      <c r="N169" s="21" t="s">
        <v>10</v>
      </c>
      <c r="O169" s="21" t="s">
        <v>10</v>
      </c>
      <c r="P169" s="21" t="s">
        <v>10</v>
      </c>
      <c r="Q169" s="21" t="s">
        <v>10</v>
      </c>
      <c r="R169" s="148" t="s">
        <v>152</v>
      </c>
      <c r="S169" s="144" t="s">
        <v>33</v>
      </c>
      <c r="T169" s="25"/>
      <c r="U169" s="25">
        <f>U170+U171</f>
        <v>9189.3000000000011</v>
      </c>
      <c r="V169" s="59"/>
      <c r="W169" s="110"/>
      <c r="X169" s="110"/>
      <c r="Y169" s="59"/>
      <c r="Z169" s="25">
        <f>Z170+Z171</f>
        <v>9189.3000000000011</v>
      </c>
      <c r="AA169" s="23">
        <v>2022</v>
      </c>
      <c r="AB169" s="73"/>
      <c r="AC169" s="63"/>
      <c r="AD169" s="64"/>
      <c r="AE169" s="65"/>
    </row>
    <row r="170" spans="1:31" s="16" customFormat="1" ht="16.5" customHeight="1" x14ac:dyDescent="0.25">
      <c r="A170" s="21" t="s">
        <v>10</v>
      </c>
      <c r="B170" s="21" t="s">
        <v>11</v>
      </c>
      <c r="C170" s="21" t="s">
        <v>12</v>
      </c>
      <c r="D170" s="21" t="s">
        <v>10</v>
      </c>
      <c r="E170" s="21" t="s">
        <v>20</v>
      </c>
      <c r="F170" s="21" t="s">
        <v>10</v>
      </c>
      <c r="G170" s="21" t="s">
        <v>19</v>
      </c>
      <c r="H170" s="21" t="s">
        <v>10</v>
      </c>
      <c r="I170" s="21" t="s">
        <v>18</v>
      </c>
      <c r="J170" s="21" t="s">
        <v>11</v>
      </c>
      <c r="K170" s="21" t="s">
        <v>10</v>
      </c>
      <c r="L170" s="21" t="s">
        <v>12</v>
      </c>
      <c r="M170" s="21" t="s">
        <v>40</v>
      </c>
      <c r="N170" s="21" t="s">
        <v>10</v>
      </c>
      <c r="O170" s="21" t="s">
        <v>18</v>
      </c>
      <c r="P170" s="21" t="s">
        <v>17</v>
      </c>
      <c r="Q170" s="21" t="s">
        <v>11</v>
      </c>
      <c r="R170" s="149"/>
      <c r="S170" s="145"/>
      <c r="T170" s="25"/>
      <c r="U170" s="24">
        <f>2124.7-286.8</f>
        <v>1837.8999999999999</v>
      </c>
      <c r="V170" s="56"/>
      <c r="W170" s="56"/>
      <c r="X170" s="56"/>
      <c r="Y170" s="59"/>
      <c r="Z170" s="25">
        <f>U170+V170</f>
        <v>1837.8999999999999</v>
      </c>
      <c r="AA170" s="23">
        <v>2022</v>
      </c>
      <c r="AB170" s="73"/>
      <c r="AC170" s="63"/>
      <c r="AD170" s="64"/>
      <c r="AE170" s="65"/>
    </row>
    <row r="171" spans="1:31" s="16" customFormat="1" ht="17.25" customHeight="1" x14ac:dyDescent="0.25">
      <c r="A171" s="21" t="s">
        <v>10</v>
      </c>
      <c r="B171" s="21" t="s">
        <v>11</v>
      </c>
      <c r="C171" s="21" t="s">
        <v>12</v>
      </c>
      <c r="D171" s="21" t="s">
        <v>10</v>
      </c>
      <c r="E171" s="21" t="s">
        <v>20</v>
      </c>
      <c r="F171" s="21" t="s">
        <v>10</v>
      </c>
      <c r="G171" s="21" t="s">
        <v>19</v>
      </c>
      <c r="H171" s="21" t="s">
        <v>10</v>
      </c>
      <c r="I171" s="21" t="s">
        <v>18</v>
      </c>
      <c r="J171" s="21" t="s">
        <v>11</v>
      </c>
      <c r="K171" s="21" t="s">
        <v>10</v>
      </c>
      <c r="L171" s="21" t="s">
        <v>12</v>
      </c>
      <c r="M171" s="21" t="s">
        <v>11</v>
      </c>
      <c r="N171" s="21" t="s">
        <v>10</v>
      </c>
      <c r="O171" s="21" t="s">
        <v>18</v>
      </c>
      <c r="P171" s="21" t="s">
        <v>17</v>
      </c>
      <c r="Q171" s="21" t="s">
        <v>11</v>
      </c>
      <c r="R171" s="150"/>
      <c r="S171" s="146"/>
      <c r="T171" s="25"/>
      <c r="U171" s="24">
        <f>8498.7-1147.3</f>
        <v>7351.4000000000005</v>
      </c>
      <c r="V171" s="110"/>
      <c r="W171" s="110"/>
      <c r="X171" s="110"/>
      <c r="Y171" s="59"/>
      <c r="Z171" s="25">
        <f>U171+V171</f>
        <v>7351.4000000000005</v>
      </c>
      <c r="AA171" s="23">
        <v>2022</v>
      </c>
      <c r="AB171" s="73"/>
      <c r="AC171" s="63"/>
      <c r="AD171" s="64"/>
      <c r="AE171" s="65"/>
    </row>
    <row r="172" spans="1:31" ht="30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7" t="s">
        <v>57</v>
      </c>
      <c r="S172" s="6" t="s">
        <v>39</v>
      </c>
      <c r="T172" s="60"/>
      <c r="U172" s="60">
        <v>2.17</v>
      </c>
      <c r="V172" s="109"/>
      <c r="W172" s="109"/>
      <c r="X172" s="109"/>
      <c r="Y172" s="109"/>
      <c r="Z172" s="61">
        <f>U172</f>
        <v>2.17</v>
      </c>
      <c r="AA172" s="6">
        <v>2022</v>
      </c>
      <c r="AB172" s="77"/>
    </row>
    <row r="173" spans="1:31" ht="19.5" customHeight="1" x14ac:dyDescent="0.25">
      <c r="A173" s="21" t="s">
        <v>10</v>
      </c>
      <c r="B173" s="21" t="s">
        <v>11</v>
      </c>
      <c r="C173" s="21" t="s">
        <v>12</v>
      </c>
      <c r="D173" s="21" t="s">
        <v>10</v>
      </c>
      <c r="E173" s="21" t="s">
        <v>20</v>
      </c>
      <c r="F173" s="21" t="s">
        <v>10</v>
      </c>
      <c r="G173" s="21" t="s">
        <v>19</v>
      </c>
      <c r="H173" s="21" t="s">
        <v>10</v>
      </c>
      <c r="I173" s="21" t="s">
        <v>18</v>
      </c>
      <c r="J173" s="21" t="s">
        <v>11</v>
      </c>
      <c r="K173" s="21" t="s">
        <v>10</v>
      </c>
      <c r="L173" s="21" t="s">
        <v>12</v>
      </c>
      <c r="M173" s="21" t="s">
        <v>10</v>
      </c>
      <c r="N173" s="21" t="s">
        <v>10</v>
      </c>
      <c r="O173" s="21" t="s">
        <v>10</v>
      </c>
      <c r="P173" s="21" t="s">
        <v>10</v>
      </c>
      <c r="Q173" s="21" t="s">
        <v>10</v>
      </c>
      <c r="R173" s="141" t="s">
        <v>153</v>
      </c>
      <c r="S173" s="144" t="s">
        <v>33</v>
      </c>
      <c r="T173" s="25"/>
      <c r="U173" s="25">
        <f>U174+U175</f>
        <v>10649.300000000001</v>
      </c>
      <c r="V173" s="59"/>
      <c r="W173" s="59"/>
      <c r="X173" s="59"/>
      <c r="Y173" s="59"/>
      <c r="Z173" s="25">
        <f t="shared" ref="Z173:Z176" si="23">T173+U173+V173+W173+X173+Y173</f>
        <v>10649.300000000001</v>
      </c>
      <c r="AA173" s="23">
        <v>2022</v>
      </c>
      <c r="AB173" s="78"/>
      <c r="AC173" s="43"/>
    </row>
    <row r="174" spans="1:31" ht="21" customHeight="1" x14ac:dyDescent="0.25">
      <c r="A174" s="21" t="s">
        <v>10</v>
      </c>
      <c r="B174" s="21" t="s">
        <v>11</v>
      </c>
      <c r="C174" s="21" t="s">
        <v>12</v>
      </c>
      <c r="D174" s="21" t="s">
        <v>10</v>
      </c>
      <c r="E174" s="21" t="s">
        <v>20</v>
      </c>
      <c r="F174" s="21" t="s">
        <v>10</v>
      </c>
      <c r="G174" s="21" t="s">
        <v>19</v>
      </c>
      <c r="H174" s="21" t="s">
        <v>10</v>
      </c>
      <c r="I174" s="21" t="s">
        <v>18</v>
      </c>
      <c r="J174" s="21" t="s">
        <v>11</v>
      </c>
      <c r="K174" s="21" t="s">
        <v>10</v>
      </c>
      <c r="L174" s="21" t="s">
        <v>12</v>
      </c>
      <c r="M174" s="21" t="s">
        <v>40</v>
      </c>
      <c r="N174" s="21" t="s">
        <v>10</v>
      </c>
      <c r="O174" s="21" t="s">
        <v>18</v>
      </c>
      <c r="P174" s="21" t="s">
        <v>17</v>
      </c>
      <c r="Q174" s="21" t="s">
        <v>11</v>
      </c>
      <c r="R174" s="142"/>
      <c r="S174" s="145"/>
      <c r="T174" s="24"/>
      <c r="U174" s="24">
        <f>2365.8-414.5-82.7</f>
        <v>1868.6000000000001</v>
      </c>
      <c r="V174" s="56"/>
      <c r="W174" s="56"/>
      <c r="X174" s="56"/>
      <c r="Y174" s="56"/>
      <c r="Z174" s="25">
        <f t="shared" si="23"/>
        <v>1868.6000000000001</v>
      </c>
      <c r="AA174" s="23">
        <v>2022</v>
      </c>
      <c r="AB174" s="78"/>
    </row>
    <row r="175" spans="1:31" ht="27.6" customHeight="1" x14ac:dyDescent="0.25">
      <c r="A175" s="21" t="s">
        <v>10</v>
      </c>
      <c r="B175" s="21" t="s">
        <v>11</v>
      </c>
      <c r="C175" s="21" t="s">
        <v>12</v>
      </c>
      <c r="D175" s="21" t="s">
        <v>10</v>
      </c>
      <c r="E175" s="21" t="s">
        <v>20</v>
      </c>
      <c r="F175" s="21" t="s">
        <v>10</v>
      </c>
      <c r="G175" s="21" t="s">
        <v>19</v>
      </c>
      <c r="H175" s="21" t="s">
        <v>10</v>
      </c>
      <c r="I175" s="21" t="s">
        <v>18</v>
      </c>
      <c r="J175" s="21" t="s">
        <v>11</v>
      </c>
      <c r="K175" s="21" t="s">
        <v>10</v>
      </c>
      <c r="L175" s="21" t="s">
        <v>12</v>
      </c>
      <c r="M175" s="21" t="s">
        <v>11</v>
      </c>
      <c r="N175" s="21" t="s">
        <v>10</v>
      </c>
      <c r="O175" s="21" t="s">
        <v>18</v>
      </c>
      <c r="P175" s="21" t="s">
        <v>17</v>
      </c>
      <c r="Q175" s="21" t="s">
        <v>11</v>
      </c>
      <c r="R175" s="143"/>
      <c r="S175" s="146"/>
      <c r="T175" s="24"/>
      <c r="U175" s="24">
        <f>9463.2-682.5</f>
        <v>8780.7000000000007</v>
      </c>
      <c r="V175" s="56"/>
      <c r="W175" s="56"/>
      <c r="X175" s="56"/>
      <c r="Y175" s="56"/>
      <c r="Z175" s="25">
        <f t="shared" si="23"/>
        <v>8780.7000000000007</v>
      </c>
      <c r="AA175" s="23">
        <v>2022</v>
      </c>
      <c r="AB175" s="78"/>
    </row>
    <row r="176" spans="1:31" ht="30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7" t="s">
        <v>156</v>
      </c>
      <c r="S176" s="6" t="s">
        <v>39</v>
      </c>
      <c r="T176" s="60"/>
      <c r="U176" s="60">
        <v>1.488</v>
      </c>
      <c r="V176" s="109"/>
      <c r="W176" s="109"/>
      <c r="X176" s="109"/>
      <c r="Y176" s="109"/>
      <c r="Z176" s="61">
        <f t="shared" si="23"/>
        <v>1.488</v>
      </c>
      <c r="AA176" s="6">
        <v>2022</v>
      </c>
      <c r="AB176" s="77"/>
    </row>
    <row r="177" spans="1:30" x14ac:dyDescent="0.25">
      <c r="A177" s="21" t="s">
        <v>10</v>
      </c>
      <c r="B177" s="21" t="s">
        <v>11</v>
      </c>
      <c r="C177" s="21" t="s">
        <v>12</v>
      </c>
      <c r="D177" s="21" t="s">
        <v>10</v>
      </c>
      <c r="E177" s="21" t="s">
        <v>20</v>
      </c>
      <c r="F177" s="21" t="s">
        <v>10</v>
      </c>
      <c r="G177" s="21" t="s">
        <v>19</v>
      </c>
      <c r="H177" s="21" t="s">
        <v>10</v>
      </c>
      <c r="I177" s="21" t="s">
        <v>18</v>
      </c>
      <c r="J177" s="21" t="s">
        <v>11</v>
      </c>
      <c r="K177" s="21" t="s">
        <v>10</v>
      </c>
      <c r="L177" s="21" t="s">
        <v>12</v>
      </c>
      <c r="M177" s="21" t="s">
        <v>10</v>
      </c>
      <c r="N177" s="21" t="s">
        <v>10</v>
      </c>
      <c r="O177" s="21" t="s">
        <v>10</v>
      </c>
      <c r="P177" s="21" t="s">
        <v>10</v>
      </c>
      <c r="Q177" s="21" t="s">
        <v>10</v>
      </c>
      <c r="R177" s="141" t="s">
        <v>167</v>
      </c>
      <c r="S177" s="144" t="s">
        <v>33</v>
      </c>
      <c r="T177" s="114"/>
      <c r="U177" s="114"/>
      <c r="V177" s="25">
        <f>V178+V179</f>
        <v>7932.5</v>
      </c>
      <c r="W177" s="59"/>
      <c r="X177" s="59"/>
      <c r="Y177" s="59"/>
      <c r="Z177" s="25">
        <f>Z178+Z179</f>
        <v>7932.5</v>
      </c>
      <c r="AA177" s="23">
        <v>2023</v>
      </c>
      <c r="AB177" s="77"/>
    </row>
    <row r="178" spans="1:30" ht="22.9" customHeight="1" x14ac:dyDescent="0.25">
      <c r="A178" s="21" t="s">
        <v>10</v>
      </c>
      <c r="B178" s="21" t="s">
        <v>11</v>
      </c>
      <c r="C178" s="21" t="s">
        <v>12</v>
      </c>
      <c r="D178" s="21" t="s">
        <v>10</v>
      </c>
      <c r="E178" s="21" t="s">
        <v>20</v>
      </c>
      <c r="F178" s="21" t="s">
        <v>10</v>
      </c>
      <c r="G178" s="21" t="s">
        <v>19</v>
      </c>
      <c r="H178" s="21" t="s">
        <v>10</v>
      </c>
      <c r="I178" s="21" t="s">
        <v>18</v>
      </c>
      <c r="J178" s="21" t="s">
        <v>11</v>
      </c>
      <c r="K178" s="21" t="s">
        <v>10</v>
      </c>
      <c r="L178" s="21" t="s">
        <v>12</v>
      </c>
      <c r="M178" s="21" t="s">
        <v>40</v>
      </c>
      <c r="N178" s="21" t="s">
        <v>10</v>
      </c>
      <c r="O178" s="21" t="s">
        <v>18</v>
      </c>
      <c r="P178" s="21" t="s">
        <v>17</v>
      </c>
      <c r="Q178" s="21" t="s">
        <v>11</v>
      </c>
      <c r="R178" s="142"/>
      <c r="S178" s="145"/>
      <c r="T178" s="25"/>
      <c r="U178" s="59"/>
      <c r="V178" s="24">
        <v>793.3</v>
      </c>
      <c r="W178" s="59"/>
      <c r="X178" s="59"/>
      <c r="Y178" s="59"/>
      <c r="Z178" s="25">
        <f>T178+U178+V178+W178+X178+Y178</f>
        <v>793.3</v>
      </c>
      <c r="AA178" s="23">
        <v>2023</v>
      </c>
      <c r="AB178" s="75"/>
    </row>
    <row r="179" spans="1:30" ht="17.25" customHeight="1" x14ac:dyDescent="0.25">
      <c r="A179" s="21" t="s">
        <v>10</v>
      </c>
      <c r="B179" s="21" t="s">
        <v>11</v>
      </c>
      <c r="C179" s="21" t="s">
        <v>12</v>
      </c>
      <c r="D179" s="21" t="s">
        <v>10</v>
      </c>
      <c r="E179" s="21" t="s">
        <v>20</v>
      </c>
      <c r="F179" s="21" t="s">
        <v>10</v>
      </c>
      <c r="G179" s="21" t="s">
        <v>19</v>
      </c>
      <c r="H179" s="21" t="s">
        <v>10</v>
      </c>
      <c r="I179" s="21" t="s">
        <v>18</v>
      </c>
      <c r="J179" s="21" t="s">
        <v>11</v>
      </c>
      <c r="K179" s="21" t="s">
        <v>10</v>
      </c>
      <c r="L179" s="21" t="s">
        <v>12</v>
      </c>
      <c r="M179" s="21" t="s">
        <v>11</v>
      </c>
      <c r="N179" s="21" t="s">
        <v>10</v>
      </c>
      <c r="O179" s="21" t="s">
        <v>18</v>
      </c>
      <c r="P179" s="21" t="s">
        <v>17</v>
      </c>
      <c r="Q179" s="21" t="s">
        <v>11</v>
      </c>
      <c r="R179" s="143"/>
      <c r="S179" s="146"/>
      <c r="T179" s="25"/>
      <c r="U179" s="59"/>
      <c r="V179" s="24">
        <v>7139.2</v>
      </c>
      <c r="W179" s="59"/>
      <c r="X179" s="59"/>
      <c r="Y179" s="59"/>
      <c r="Z179" s="25">
        <f>T179+U179+V179+W179+X179+Y179</f>
        <v>7139.2</v>
      </c>
      <c r="AA179" s="23">
        <v>2023</v>
      </c>
      <c r="AB179" s="75"/>
    </row>
    <row r="180" spans="1:30" s="1" customFormat="1" ht="34.1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7" t="s">
        <v>57</v>
      </c>
      <c r="S180" s="6" t="s">
        <v>39</v>
      </c>
      <c r="T180" s="9"/>
      <c r="U180" s="108"/>
      <c r="V180" s="60">
        <v>1.835</v>
      </c>
      <c r="W180" s="109"/>
      <c r="X180" s="109"/>
      <c r="Y180" s="109"/>
      <c r="Z180" s="61">
        <f>V180</f>
        <v>1.835</v>
      </c>
      <c r="AA180" s="8">
        <v>2023</v>
      </c>
      <c r="AB180" s="72" t="s">
        <v>197</v>
      </c>
      <c r="AC180" s="17"/>
      <c r="AD180" s="17"/>
    </row>
    <row r="181" spans="1:30" ht="18.75" customHeight="1" x14ac:dyDescent="0.25">
      <c r="A181" s="21" t="s">
        <v>10</v>
      </c>
      <c r="B181" s="21" t="s">
        <v>11</v>
      </c>
      <c r="C181" s="21" t="s">
        <v>12</v>
      </c>
      <c r="D181" s="21" t="s">
        <v>10</v>
      </c>
      <c r="E181" s="21" t="s">
        <v>20</v>
      </c>
      <c r="F181" s="21" t="s">
        <v>10</v>
      </c>
      <c r="G181" s="21" t="s">
        <v>19</v>
      </c>
      <c r="H181" s="21" t="s">
        <v>10</v>
      </c>
      <c r="I181" s="21" t="s">
        <v>18</v>
      </c>
      <c r="J181" s="21" t="s">
        <v>11</v>
      </c>
      <c r="K181" s="21" t="s">
        <v>10</v>
      </c>
      <c r="L181" s="21" t="s">
        <v>12</v>
      </c>
      <c r="M181" s="21" t="s">
        <v>10</v>
      </c>
      <c r="N181" s="21" t="s">
        <v>10</v>
      </c>
      <c r="O181" s="21" t="s">
        <v>10</v>
      </c>
      <c r="P181" s="21" t="s">
        <v>10</v>
      </c>
      <c r="Q181" s="21" t="s">
        <v>10</v>
      </c>
      <c r="R181" s="141" t="s">
        <v>168</v>
      </c>
      <c r="S181" s="144" t="s">
        <v>33</v>
      </c>
      <c r="T181" s="114"/>
      <c r="U181" s="114"/>
      <c r="V181" s="25">
        <f>V182+V183</f>
        <v>16493.5</v>
      </c>
      <c r="W181" s="59"/>
      <c r="X181" s="59"/>
      <c r="Y181" s="59"/>
      <c r="Z181" s="25">
        <f>Z182+Z183</f>
        <v>16493.5</v>
      </c>
      <c r="AA181" s="23">
        <v>2023</v>
      </c>
      <c r="AB181" s="77"/>
    </row>
    <row r="182" spans="1:30" ht="18.75" customHeight="1" x14ac:dyDescent="0.25">
      <c r="A182" s="21" t="s">
        <v>10</v>
      </c>
      <c r="B182" s="21" t="s">
        <v>11</v>
      </c>
      <c r="C182" s="21" t="s">
        <v>12</v>
      </c>
      <c r="D182" s="21" t="s">
        <v>10</v>
      </c>
      <c r="E182" s="21" t="s">
        <v>20</v>
      </c>
      <c r="F182" s="21" t="s">
        <v>10</v>
      </c>
      <c r="G182" s="21" t="s">
        <v>19</v>
      </c>
      <c r="H182" s="21" t="s">
        <v>10</v>
      </c>
      <c r="I182" s="21" t="s">
        <v>18</v>
      </c>
      <c r="J182" s="21" t="s">
        <v>11</v>
      </c>
      <c r="K182" s="21" t="s">
        <v>10</v>
      </c>
      <c r="L182" s="21" t="s">
        <v>12</v>
      </c>
      <c r="M182" s="21" t="s">
        <v>40</v>
      </c>
      <c r="N182" s="21" t="s">
        <v>10</v>
      </c>
      <c r="O182" s="21" t="s">
        <v>18</v>
      </c>
      <c r="P182" s="21" t="s">
        <v>17</v>
      </c>
      <c r="Q182" s="21" t="s">
        <v>11</v>
      </c>
      <c r="R182" s="142"/>
      <c r="S182" s="145"/>
      <c r="T182" s="25"/>
      <c r="U182" s="59"/>
      <c r="V182" s="24">
        <v>1649.5</v>
      </c>
      <c r="W182" s="59"/>
      <c r="X182" s="59"/>
      <c r="Y182" s="59"/>
      <c r="Z182" s="25">
        <f>T182+U182+V182+W182+X182+Y182</f>
        <v>1649.5</v>
      </c>
      <c r="AA182" s="23">
        <v>2023</v>
      </c>
      <c r="AB182" s="75"/>
    </row>
    <row r="183" spans="1:30" ht="18.75" customHeight="1" x14ac:dyDescent="0.25">
      <c r="A183" s="21" t="s">
        <v>10</v>
      </c>
      <c r="B183" s="21" t="s">
        <v>11</v>
      </c>
      <c r="C183" s="21" t="s">
        <v>12</v>
      </c>
      <c r="D183" s="21" t="s">
        <v>10</v>
      </c>
      <c r="E183" s="21" t="s">
        <v>20</v>
      </c>
      <c r="F183" s="21" t="s">
        <v>10</v>
      </c>
      <c r="G183" s="21" t="s">
        <v>19</v>
      </c>
      <c r="H183" s="21" t="s">
        <v>10</v>
      </c>
      <c r="I183" s="21" t="s">
        <v>18</v>
      </c>
      <c r="J183" s="21" t="s">
        <v>11</v>
      </c>
      <c r="K183" s="21" t="s">
        <v>10</v>
      </c>
      <c r="L183" s="21" t="s">
        <v>12</v>
      </c>
      <c r="M183" s="21" t="s">
        <v>11</v>
      </c>
      <c r="N183" s="21" t="s">
        <v>10</v>
      </c>
      <c r="O183" s="21" t="s">
        <v>18</v>
      </c>
      <c r="P183" s="21" t="s">
        <v>17</v>
      </c>
      <c r="Q183" s="21" t="s">
        <v>11</v>
      </c>
      <c r="R183" s="143"/>
      <c r="S183" s="146"/>
      <c r="T183" s="25"/>
      <c r="U183" s="59"/>
      <c r="V183" s="24">
        <v>14844</v>
      </c>
      <c r="W183" s="59"/>
      <c r="X183" s="59"/>
      <c r="Y183" s="59"/>
      <c r="Z183" s="25">
        <f>T183+U183+V183+W183+X183+Y183</f>
        <v>14844</v>
      </c>
      <c r="AA183" s="23">
        <v>2023</v>
      </c>
      <c r="AB183" s="75"/>
    </row>
    <row r="184" spans="1:30" s="1" customFormat="1" ht="34.1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7" t="s">
        <v>57</v>
      </c>
      <c r="S184" s="6" t="s">
        <v>39</v>
      </c>
      <c r="T184" s="9"/>
      <c r="U184" s="108"/>
      <c r="V184" s="60">
        <v>3.4660000000000002</v>
      </c>
      <c r="W184" s="109"/>
      <c r="X184" s="109"/>
      <c r="Y184" s="109"/>
      <c r="Z184" s="61">
        <f>V184</f>
        <v>3.4660000000000002</v>
      </c>
      <c r="AA184" s="8">
        <v>2023</v>
      </c>
      <c r="AB184" s="72" t="s">
        <v>197</v>
      </c>
      <c r="AC184" s="17"/>
      <c r="AD184" s="17"/>
    </row>
    <row r="185" spans="1:30" ht="20.25" customHeight="1" x14ac:dyDescent="0.25">
      <c r="A185" s="21" t="s">
        <v>10</v>
      </c>
      <c r="B185" s="21" t="s">
        <v>11</v>
      </c>
      <c r="C185" s="21" t="s">
        <v>12</v>
      </c>
      <c r="D185" s="21" t="s">
        <v>10</v>
      </c>
      <c r="E185" s="21" t="s">
        <v>20</v>
      </c>
      <c r="F185" s="21" t="s">
        <v>10</v>
      </c>
      <c r="G185" s="21" t="s">
        <v>19</v>
      </c>
      <c r="H185" s="21" t="s">
        <v>10</v>
      </c>
      <c r="I185" s="21" t="s">
        <v>18</v>
      </c>
      <c r="J185" s="21" t="s">
        <v>11</v>
      </c>
      <c r="K185" s="21" t="s">
        <v>10</v>
      </c>
      <c r="L185" s="21" t="s">
        <v>12</v>
      </c>
      <c r="M185" s="21" t="s">
        <v>10</v>
      </c>
      <c r="N185" s="21" t="s">
        <v>10</v>
      </c>
      <c r="O185" s="21" t="s">
        <v>10</v>
      </c>
      <c r="P185" s="21" t="s">
        <v>10</v>
      </c>
      <c r="Q185" s="21" t="s">
        <v>10</v>
      </c>
      <c r="R185" s="141" t="s">
        <v>169</v>
      </c>
      <c r="S185" s="144" t="s">
        <v>33</v>
      </c>
      <c r="T185" s="114"/>
      <c r="U185" s="114"/>
      <c r="V185" s="25">
        <f>V186+V187</f>
        <v>4954.8999999999996</v>
      </c>
      <c r="W185" s="59"/>
      <c r="X185" s="59"/>
      <c r="Y185" s="59"/>
      <c r="Z185" s="25">
        <f>Z186+Z187</f>
        <v>4954.8999999999996</v>
      </c>
      <c r="AA185" s="23">
        <v>2023</v>
      </c>
      <c r="AB185" s="77"/>
    </row>
    <row r="186" spans="1:30" ht="18" customHeight="1" x14ac:dyDescent="0.25">
      <c r="A186" s="21" t="s">
        <v>10</v>
      </c>
      <c r="B186" s="21" t="s">
        <v>11</v>
      </c>
      <c r="C186" s="21" t="s">
        <v>12</v>
      </c>
      <c r="D186" s="21" t="s">
        <v>10</v>
      </c>
      <c r="E186" s="21" t="s">
        <v>20</v>
      </c>
      <c r="F186" s="21" t="s">
        <v>10</v>
      </c>
      <c r="G186" s="21" t="s">
        <v>19</v>
      </c>
      <c r="H186" s="21" t="s">
        <v>10</v>
      </c>
      <c r="I186" s="21" t="s">
        <v>18</v>
      </c>
      <c r="J186" s="21" t="s">
        <v>11</v>
      </c>
      <c r="K186" s="21" t="s">
        <v>10</v>
      </c>
      <c r="L186" s="21" t="s">
        <v>12</v>
      </c>
      <c r="M186" s="21" t="s">
        <v>40</v>
      </c>
      <c r="N186" s="21" t="s">
        <v>10</v>
      </c>
      <c r="O186" s="21" t="s">
        <v>18</v>
      </c>
      <c r="P186" s="21" t="s">
        <v>17</v>
      </c>
      <c r="Q186" s="21" t="s">
        <v>11</v>
      </c>
      <c r="R186" s="142"/>
      <c r="S186" s="145"/>
      <c r="T186" s="25"/>
      <c r="U186" s="59"/>
      <c r="V186" s="24">
        <v>495.5</v>
      </c>
      <c r="W186" s="59"/>
      <c r="X186" s="59"/>
      <c r="Y186" s="59"/>
      <c r="Z186" s="25">
        <f>T186+U186+V186+W186+X186+Y186</f>
        <v>495.5</v>
      </c>
      <c r="AA186" s="23">
        <v>2023</v>
      </c>
      <c r="AB186" s="75"/>
    </row>
    <row r="187" spans="1:30" ht="18.75" customHeight="1" x14ac:dyDescent="0.25">
      <c r="A187" s="21" t="s">
        <v>10</v>
      </c>
      <c r="B187" s="21" t="s">
        <v>11</v>
      </c>
      <c r="C187" s="21" t="s">
        <v>12</v>
      </c>
      <c r="D187" s="21" t="s">
        <v>10</v>
      </c>
      <c r="E187" s="21" t="s">
        <v>20</v>
      </c>
      <c r="F187" s="21" t="s">
        <v>10</v>
      </c>
      <c r="G187" s="21" t="s">
        <v>19</v>
      </c>
      <c r="H187" s="21" t="s">
        <v>10</v>
      </c>
      <c r="I187" s="21" t="s">
        <v>18</v>
      </c>
      <c r="J187" s="21" t="s">
        <v>11</v>
      </c>
      <c r="K187" s="21" t="s">
        <v>10</v>
      </c>
      <c r="L187" s="21" t="s">
        <v>12</v>
      </c>
      <c r="M187" s="21" t="s">
        <v>11</v>
      </c>
      <c r="N187" s="21" t="s">
        <v>10</v>
      </c>
      <c r="O187" s="21" t="s">
        <v>18</v>
      </c>
      <c r="P187" s="21" t="s">
        <v>17</v>
      </c>
      <c r="Q187" s="21" t="s">
        <v>11</v>
      </c>
      <c r="R187" s="143"/>
      <c r="S187" s="146"/>
      <c r="T187" s="25"/>
      <c r="U187" s="59"/>
      <c r="V187" s="24">
        <v>4459.3999999999996</v>
      </c>
      <c r="W187" s="59"/>
      <c r="X187" s="59"/>
      <c r="Y187" s="59"/>
      <c r="Z187" s="25">
        <f>T187+U187+V187+W187+X187+Y187</f>
        <v>4459.3999999999996</v>
      </c>
      <c r="AA187" s="23">
        <v>2023</v>
      </c>
      <c r="AB187" s="75"/>
    </row>
    <row r="188" spans="1:30" s="1" customFormat="1" ht="34.1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7" t="s">
        <v>57</v>
      </c>
      <c r="S188" s="6" t="s">
        <v>39</v>
      </c>
      <c r="T188" s="9"/>
      <c r="U188" s="108"/>
      <c r="V188" s="60">
        <v>1.0249999999999999</v>
      </c>
      <c r="W188" s="109"/>
      <c r="X188" s="109"/>
      <c r="Y188" s="109"/>
      <c r="Z188" s="61">
        <f>V188</f>
        <v>1.0249999999999999</v>
      </c>
      <c r="AA188" s="8">
        <v>2023</v>
      </c>
      <c r="AB188" s="72" t="s">
        <v>197</v>
      </c>
      <c r="AC188" s="17"/>
      <c r="AD188" s="17"/>
    </row>
    <row r="189" spans="1:30" ht="21" customHeight="1" x14ac:dyDescent="0.25">
      <c r="A189" s="21" t="s">
        <v>10</v>
      </c>
      <c r="B189" s="21" t="s">
        <v>11</v>
      </c>
      <c r="C189" s="21" t="s">
        <v>12</v>
      </c>
      <c r="D189" s="21" t="s">
        <v>10</v>
      </c>
      <c r="E189" s="21" t="s">
        <v>20</v>
      </c>
      <c r="F189" s="21" t="s">
        <v>10</v>
      </c>
      <c r="G189" s="21" t="s">
        <v>19</v>
      </c>
      <c r="H189" s="21" t="s">
        <v>10</v>
      </c>
      <c r="I189" s="21" t="s">
        <v>18</v>
      </c>
      <c r="J189" s="21" t="s">
        <v>11</v>
      </c>
      <c r="K189" s="21" t="s">
        <v>10</v>
      </c>
      <c r="L189" s="21" t="s">
        <v>12</v>
      </c>
      <c r="M189" s="21" t="s">
        <v>10</v>
      </c>
      <c r="N189" s="21" t="s">
        <v>10</v>
      </c>
      <c r="O189" s="21" t="s">
        <v>10</v>
      </c>
      <c r="P189" s="21" t="s">
        <v>10</v>
      </c>
      <c r="Q189" s="21" t="s">
        <v>10</v>
      </c>
      <c r="R189" s="141" t="s">
        <v>170</v>
      </c>
      <c r="S189" s="144" t="s">
        <v>33</v>
      </c>
      <c r="T189" s="114"/>
      <c r="U189" s="114"/>
      <c r="V189" s="25">
        <f>V190+V191</f>
        <v>110671.9</v>
      </c>
      <c r="W189" s="25">
        <f>W192+W193</f>
        <v>1248.5</v>
      </c>
      <c r="X189" s="59"/>
      <c r="Y189" s="59"/>
      <c r="Z189" s="25">
        <f>V189+W189</f>
        <v>111920.4</v>
      </c>
      <c r="AA189" s="23">
        <v>2024</v>
      </c>
      <c r="AB189" s="77"/>
    </row>
    <row r="190" spans="1:30" ht="18" customHeight="1" x14ac:dyDescent="0.25">
      <c r="A190" s="21" t="s">
        <v>10</v>
      </c>
      <c r="B190" s="21" t="s">
        <v>11</v>
      </c>
      <c r="C190" s="21" t="s">
        <v>12</v>
      </c>
      <c r="D190" s="21" t="s">
        <v>10</v>
      </c>
      <c r="E190" s="21" t="s">
        <v>20</v>
      </c>
      <c r="F190" s="21" t="s">
        <v>10</v>
      </c>
      <c r="G190" s="21" t="s">
        <v>19</v>
      </c>
      <c r="H190" s="21" t="s">
        <v>10</v>
      </c>
      <c r="I190" s="21" t="s">
        <v>18</v>
      </c>
      <c r="J190" s="21" t="s">
        <v>11</v>
      </c>
      <c r="K190" s="21" t="s">
        <v>10</v>
      </c>
      <c r="L190" s="21" t="s">
        <v>12</v>
      </c>
      <c r="M190" s="21" t="s">
        <v>40</v>
      </c>
      <c r="N190" s="21" t="s">
        <v>10</v>
      </c>
      <c r="O190" s="21" t="s">
        <v>18</v>
      </c>
      <c r="P190" s="21" t="s">
        <v>17</v>
      </c>
      <c r="Q190" s="21" t="s">
        <v>11</v>
      </c>
      <c r="R190" s="142"/>
      <c r="S190" s="145"/>
      <c r="T190" s="25"/>
      <c r="U190" s="59"/>
      <c r="V190" s="24">
        <v>11067.2</v>
      </c>
      <c r="W190" s="24"/>
      <c r="X190" s="59"/>
      <c r="Y190" s="59"/>
      <c r="Z190" s="25">
        <f>T190+U190+V190+W190+X190+Y190</f>
        <v>11067.2</v>
      </c>
      <c r="AA190" s="23">
        <v>2023</v>
      </c>
      <c r="AB190" s="75"/>
    </row>
    <row r="191" spans="1:30" ht="20.25" customHeight="1" x14ac:dyDescent="0.25">
      <c r="A191" s="21" t="s">
        <v>10</v>
      </c>
      <c r="B191" s="21" t="s">
        <v>11</v>
      </c>
      <c r="C191" s="21" t="s">
        <v>12</v>
      </c>
      <c r="D191" s="21" t="s">
        <v>10</v>
      </c>
      <c r="E191" s="21" t="s">
        <v>20</v>
      </c>
      <c r="F191" s="21" t="s">
        <v>10</v>
      </c>
      <c r="G191" s="21" t="s">
        <v>19</v>
      </c>
      <c r="H191" s="21" t="s">
        <v>10</v>
      </c>
      <c r="I191" s="21" t="s">
        <v>18</v>
      </c>
      <c r="J191" s="21" t="s">
        <v>11</v>
      </c>
      <c r="K191" s="21" t="s">
        <v>10</v>
      </c>
      <c r="L191" s="21" t="s">
        <v>12</v>
      </c>
      <c r="M191" s="21" t="s">
        <v>11</v>
      </c>
      <c r="N191" s="21" t="s">
        <v>10</v>
      </c>
      <c r="O191" s="21" t="s">
        <v>18</v>
      </c>
      <c r="P191" s="21" t="s">
        <v>17</v>
      </c>
      <c r="Q191" s="21" t="s">
        <v>11</v>
      </c>
      <c r="R191" s="142"/>
      <c r="S191" s="145"/>
      <c r="T191" s="25"/>
      <c r="U191" s="59"/>
      <c r="V191" s="24">
        <v>99604.7</v>
      </c>
      <c r="W191" s="24"/>
      <c r="X191" s="59"/>
      <c r="Y191" s="59"/>
      <c r="Z191" s="25">
        <f>T191+U191+V191+W191+X191+Y191</f>
        <v>99604.7</v>
      </c>
      <c r="AA191" s="23">
        <v>2023</v>
      </c>
      <c r="AB191" s="75"/>
    </row>
    <row r="192" spans="1:30" ht="22.5" customHeight="1" x14ac:dyDescent="0.25">
      <c r="A192" s="21" t="s">
        <v>10</v>
      </c>
      <c r="B192" s="21" t="s">
        <v>11</v>
      </c>
      <c r="C192" s="21" t="s">
        <v>12</v>
      </c>
      <c r="D192" s="21" t="s">
        <v>10</v>
      </c>
      <c r="E192" s="21" t="s">
        <v>20</v>
      </c>
      <c r="F192" s="21" t="s">
        <v>10</v>
      </c>
      <c r="G192" s="21" t="s">
        <v>19</v>
      </c>
      <c r="H192" s="21" t="s">
        <v>10</v>
      </c>
      <c r="I192" s="21" t="s">
        <v>18</v>
      </c>
      <c r="J192" s="21" t="s">
        <v>11</v>
      </c>
      <c r="K192" s="21" t="s">
        <v>10</v>
      </c>
      <c r="L192" s="21" t="s">
        <v>12</v>
      </c>
      <c r="M192" s="21" t="s">
        <v>40</v>
      </c>
      <c r="N192" s="21" t="s">
        <v>10</v>
      </c>
      <c r="O192" s="21" t="s">
        <v>11</v>
      </c>
      <c r="P192" s="21" t="s">
        <v>17</v>
      </c>
      <c r="Q192" s="21" t="s">
        <v>11</v>
      </c>
      <c r="R192" s="142"/>
      <c r="S192" s="145"/>
      <c r="T192" s="25"/>
      <c r="U192" s="59"/>
      <c r="V192" s="24"/>
      <c r="W192" s="24">
        <v>124.9</v>
      </c>
      <c r="X192" s="59"/>
      <c r="Y192" s="59"/>
      <c r="Z192" s="25">
        <f>T192+U192+V192+W192+X192+Y192</f>
        <v>124.9</v>
      </c>
      <c r="AA192" s="23">
        <v>2024</v>
      </c>
      <c r="AB192" s="75"/>
    </row>
    <row r="193" spans="1:31" ht="20.25" customHeight="1" x14ac:dyDescent="0.25">
      <c r="A193" s="21" t="s">
        <v>10</v>
      </c>
      <c r="B193" s="21" t="s">
        <v>11</v>
      </c>
      <c r="C193" s="21" t="s">
        <v>12</v>
      </c>
      <c r="D193" s="21" t="s">
        <v>10</v>
      </c>
      <c r="E193" s="21" t="s">
        <v>20</v>
      </c>
      <c r="F193" s="21" t="s">
        <v>10</v>
      </c>
      <c r="G193" s="21" t="s">
        <v>19</v>
      </c>
      <c r="H193" s="21" t="s">
        <v>10</v>
      </c>
      <c r="I193" s="21" t="s">
        <v>18</v>
      </c>
      <c r="J193" s="21" t="s">
        <v>11</v>
      </c>
      <c r="K193" s="21" t="s">
        <v>10</v>
      </c>
      <c r="L193" s="21" t="s">
        <v>12</v>
      </c>
      <c r="M193" s="21" t="s">
        <v>11</v>
      </c>
      <c r="N193" s="21" t="s">
        <v>10</v>
      </c>
      <c r="O193" s="21" t="s">
        <v>11</v>
      </c>
      <c r="P193" s="21" t="s">
        <v>17</v>
      </c>
      <c r="Q193" s="21" t="s">
        <v>11</v>
      </c>
      <c r="R193" s="143"/>
      <c r="S193" s="146"/>
      <c r="T193" s="25"/>
      <c r="U193" s="59"/>
      <c r="V193" s="24"/>
      <c r="W193" s="24">
        <v>1123.5999999999999</v>
      </c>
      <c r="X193" s="59"/>
      <c r="Y193" s="59"/>
      <c r="Z193" s="25">
        <f>T193+U193+V193+W193+X193+Y193</f>
        <v>1123.5999999999999</v>
      </c>
      <c r="AA193" s="23">
        <v>2024</v>
      </c>
      <c r="AB193" s="75"/>
    </row>
    <row r="194" spans="1:31" s="1" customFormat="1" ht="30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7" t="s">
        <v>57</v>
      </c>
      <c r="S194" s="6" t="s">
        <v>39</v>
      </c>
      <c r="T194" s="9"/>
      <c r="U194" s="108"/>
      <c r="V194" s="60">
        <v>0.434</v>
      </c>
      <c r="W194" s="60">
        <v>9.2219999999999995</v>
      </c>
      <c r="X194" s="109"/>
      <c r="Y194" s="109"/>
      <c r="Z194" s="61">
        <f>V194+W194</f>
        <v>9.6559999999999988</v>
      </c>
      <c r="AA194" s="8">
        <v>2024</v>
      </c>
      <c r="AB194" s="129" t="s">
        <v>195</v>
      </c>
      <c r="AC194" s="17"/>
      <c r="AD194" s="17"/>
    </row>
    <row r="195" spans="1:31" s="1" customFormat="1" ht="30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7" t="s">
        <v>176</v>
      </c>
      <c r="S195" s="58" t="s">
        <v>1</v>
      </c>
      <c r="T195" s="5"/>
      <c r="U195" s="5"/>
      <c r="V195" s="5">
        <f>V189*100/Z189</f>
        <v>98.884475037616028</v>
      </c>
      <c r="W195" s="5">
        <f>W189*100/Z189</f>
        <v>1.11552496238398</v>
      </c>
      <c r="X195" s="107"/>
      <c r="Y195" s="107"/>
      <c r="Z195" s="3">
        <f>V195+W195</f>
        <v>100.00000000000001</v>
      </c>
      <c r="AA195" s="6">
        <v>2024</v>
      </c>
      <c r="AB195" s="78"/>
      <c r="AC195" s="17"/>
      <c r="AD195" s="17"/>
    </row>
    <row r="196" spans="1:31" ht="21.75" customHeight="1" x14ac:dyDescent="0.25">
      <c r="A196" s="21" t="s">
        <v>10</v>
      </c>
      <c r="B196" s="21" t="s">
        <v>11</v>
      </c>
      <c r="C196" s="21" t="s">
        <v>12</v>
      </c>
      <c r="D196" s="21" t="s">
        <v>10</v>
      </c>
      <c r="E196" s="21" t="s">
        <v>20</v>
      </c>
      <c r="F196" s="21" t="s">
        <v>10</v>
      </c>
      <c r="G196" s="21" t="s">
        <v>19</v>
      </c>
      <c r="H196" s="21" t="s">
        <v>10</v>
      </c>
      <c r="I196" s="21" t="s">
        <v>18</v>
      </c>
      <c r="J196" s="21" t="s">
        <v>11</v>
      </c>
      <c r="K196" s="21" t="s">
        <v>10</v>
      </c>
      <c r="L196" s="21" t="s">
        <v>12</v>
      </c>
      <c r="M196" s="21" t="s">
        <v>10</v>
      </c>
      <c r="N196" s="21" t="s">
        <v>10</v>
      </c>
      <c r="O196" s="21" t="s">
        <v>10</v>
      </c>
      <c r="P196" s="21" t="s">
        <v>10</v>
      </c>
      <c r="Q196" s="21" t="s">
        <v>10</v>
      </c>
      <c r="R196" s="141" t="s">
        <v>171</v>
      </c>
      <c r="S196" s="144" t="s">
        <v>33</v>
      </c>
      <c r="T196" s="114"/>
      <c r="U196" s="114"/>
      <c r="V196" s="25">
        <f>V197+V198</f>
        <v>7832.6</v>
      </c>
      <c r="W196" s="59"/>
      <c r="X196" s="59"/>
      <c r="Y196" s="59"/>
      <c r="Z196" s="25">
        <f>Z197+Z198</f>
        <v>7832.6</v>
      </c>
      <c r="AA196" s="23">
        <v>2023</v>
      </c>
      <c r="AB196" s="77"/>
    </row>
    <row r="197" spans="1:31" ht="16.5" customHeight="1" x14ac:dyDescent="0.25">
      <c r="A197" s="21" t="s">
        <v>10</v>
      </c>
      <c r="B197" s="21" t="s">
        <v>11</v>
      </c>
      <c r="C197" s="21" t="s">
        <v>12</v>
      </c>
      <c r="D197" s="21" t="s">
        <v>10</v>
      </c>
      <c r="E197" s="21" t="s">
        <v>20</v>
      </c>
      <c r="F197" s="21" t="s">
        <v>10</v>
      </c>
      <c r="G197" s="21" t="s">
        <v>19</v>
      </c>
      <c r="H197" s="21" t="s">
        <v>10</v>
      </c>
      <c r="I197" s="21" t="s">
        <v>18</v>
      </c>
      <c r="J197" s="21" t="s">
        <v>11</v>
      </c>
      <c r="K197" s="21" t="s">
        <v>10</v>
      </c>
      <c r="L197" s="21" t="s">
        <v>12</v>
      </c>
      <c r="M197" s="21" t="s">
        <v>40</v>
      </c>
      <c r="N197" s="21" t="s">
        <v>10</v>
      </c>
      <c r="O197" s="21" t="s">
        <v>18</v>
      </c>
      <c r="P197" s="21" t="s">
        <v>17</v>
      </c>
      <c r="Q197" s="21" t="s">
        <v>11</v>
      </c>
      <c r="R197" s="142"/>
      <c r="S197" s="145"/>
      <c r="T197" s="25"/>
      <c r="U197" s="59"/>
      <c r="V197" s="24">
        <v>783.3</v>
      </c>
      <c r="W197" s="59"/>
      <c r="X197" s="59"/>
      <c r="Y197" s="59"/>
      <c r="Z197" s="25">
        <f>T197+U197+V197+W197+X197+Y197</f>
        <v>783.3</v>
      </c>
      <c r="AA197" s="23">
        <v>2023</v>
      </c>
      <c r="AB197" s="75"/>
    </row>
    <row r="198" spans="1:31" ht="22.5" customHeight="1" x14ac:dyDescent="0.25">
      <c r="A198" s="21" t="s">
        <v>10</v>
      </c>
      <c r="B198" s="21" t="s">
        <v>11</v>
      </c>
      <c r="C198" s="21" t="s">
        <v>12</v>
      </c>
      <c r="D198" s="21" t="s">
        <v>10</v>
      </c>
      <c r="E198" s="21" t="s">
        <v>20</v>
      </c>
      <c r="F198" s="21" t="s">
        <v>10</v>
      </c>
      <c r="G198" s="21" t="s">
        <v>19</v>
      </c>
      <c r="H198" s="21" t="s">
        <v>10</v>
      </c>
      <c r="I198" s="21" t="s">
        <v>18</v>
      </c>
      <c r="J198" s="21" t="s">
        <v>11</v>
      </c>
      <c r="K198" s="21" t="s">
        <v>10</v>
      </c>
      <c r="L198" s="21" t="s">
        <v>12</v>
      </c>
      <c r="M198" s="21" t="s">
        <v>11</v>
      </c>
      <c r="N198" s="21" t="s">
        <v>10</v>
      </c>
      <c r="O198" s="21" t="s">
        <v>18</v>
      </c>
      <c r="P198" s="21" t="s">
        <v>17</v>
      </c>
      <c r="Q198" s="21" t="s">
        <v>11</v>
      </c>
      <c r="R198" s="143"/>
      <c r="S198" s="146"/>
      <c r="T198" s="25"/>
      <c r="U198" s="59"/>
      <c r="V198" s="24">
        <v>7049.3</v>
      </c>
      <c r="W198" s="59"/>
      <c r="X198" s="59"/>
      <c r="Y198" s="59"/>
      <c r="Z198" s="25">
        <f>T198+U198+V198+W198+X198+Y198</f>
        <v>7049.3</v>
      </c>
      <c r="AA198" s="23">
        <v>2023</v>
      </c>
      <c r="AB198" s="75"/>
    </row>
    <row r="199" spans="1:31" s="1" customFormat="1" ht="30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7" t="s">
        <v>57</v>
      </c>
      <c r="S199" s="6" t="s">
        <v>39</v>
      </c>
      <c r="T199" s="9"/>
      <c r="U199" s="108"/>
      <c r="V199" s="60">
        <v>2.3239999999999998</v>
      </c>
      <c r="W199" s="109"/>
      <c r="X199" s="109"/>
      <c r="Y199" s="109"/>
      <c r="Z199" s="61">
        <f>V199</f>
        <v>2.3239999999999998</v>
      </c>
      <c r="AA199" s="8">
        <v>2023</v>
      </c>
      <c r="AB199" s="72" t="s">
        <v>197</v>
      </c>
      <c r="AC199" s="17"/>
      <c r="AD199" s="17"/>
    </row>
    <row r="200" spans="1:31" ht="21" customHeight="1" x14ac:dyDescent="0.25">
      <c r="A200" s="21" t="s">
        <v>10</v>
      </c>
      <c r="B200" s="21" t="s">
        <v>11</v>
      </c>
      <c r="C200" s="21" t="s">
        <v>12</v>
      </c>
      <c r="D200" s="21" t="s">
        <v>10</v>
      </c>
      <c r="E200" s="21" t="s">
        <v>20</v>
      </c>
      <c r="F200" s="21" t="s">
        <v>10</v>
      </c>
      <c r="G200" s="21" t="s">
        <v>19</v>
      </c>
      <c r="H200" s="21" t="s">
        <v>10</v>
      </c>
      <c r="I200" s="21" t="s">
        <v>18</v>
      </c>
      <c r="J200" s="21" t="s">
        <v>11</v>
      </c>
      <c r="K200" s="21" t="s">
        <v>10</v>
      </c>
      <c r="L200" s="21" t="s">
        <v>12</v>
      </c>
      <c r="M200" s="21" t="s">
        <v>10</v>
      </c>
      <c r="N200" s="21" t="s">
        <v>10</v>
      </c>
      <c r="O200" s="21" t="s">
        <v>10</v>
      </c>
      <c r="P200" s="21" t="s">
        <v>10</v>
      </c>
      <c r="Q200" s="21" t="s">
        <v>10</v>
      </c>
      <c r="R200" s="141" t="s">
        <v>173</v>
      </c>
      <c r="S200" s="144" t="s">
        <v>33</v>
      </c>
      <c r="T200" s="114"/>
      <c r="U200" s="114"/>
      <c r="V200" s="25">
        <f>V201+V202</f>
        <v>40342.699999999997</v>
      </c>
      <c r="W200" s="59"/>
      <c r="X200" s="59"/>
      <c r="Y200" s="59"/>
      <c r="Z200" s="25">
        <f>Z201+Z202</f>
        <v>40342.699999999997</v>
      </c>
      <c r="AA200" s="23">
        <v>2023</v>
      </c>
      <c r="AB200" s="77"/>
    </row>
    <row r="201" spans="1:31" ht="18" customHeight="1" x14ac:dyDescent="0.25">
      <c r="A201" s="21" t="s">
        <v>10</v>
      </c>
      <c r="B201" s="21" t="s">
        <v>11</v>
      </c>
      <c r="C201" s="21" t="s">
        <v>12</v>
      </c>
      <c r="D201" s="21" t="s">
        <v>10</v>
      </c>
      <c r="E201" s="21" t="s">
        <v>20</v>
      </c>
      <c r="F201" s="21" t="s">
        <v>10</v>
      </c>
      <c r="G201" s="21" t="s">
        <v>19</v>
      </c>
      <c r="H201" s="21" t="s">
        <v>10</v>
      </c>
      <c r="I201" s="21" t="s">
        <v>18</v>
      </c>
      <c r="J201" s="21" t="s">
        <v>11</v>
      </c>
      <c r="K201" s="21" t="s">
        <v>10</v>
      </c>
      <c r="L201" s="21" t="s">
        <v>12</v>
      </c>
      <c r="M201" s="21" t="s">
        <v>40</v>
      </c>
      <c r="N201" s="21" t="s">
        <v>10</v>
      </c>
      <c r="O201" s="21" t="s">
        <v>18</v>
      </c>
      <c r="P201" s="21" t="s">
        <v>17</v>
      </c>
      <c r="Q201" s="21" t="s">
        <v>11</v>
      </c>
      <c r="R201" s="142"/>
      <c r="S201" s="145"/>
      <c r="T201" s="25"/>
      <c r="U201" s="59"/>
      <c r="V201" s="24">
        <v>4221.5</v>
      </c>
      <c r="W201" s="59"/>
      <c r="X201" s="59"/>
      <c r="Y201" s="59"/>
      <c r="Z201" s="25">
        <f>T201+U201+V201+W201+X201+Y201</f>
        <v>4221.5</v>
      </c>
      <c r="AA201" s="23">
        <v>2023</v>
      </c>
      <c r="AB201" s="75"/>
    </row>
    <row r="202" spans="1:31" ht="20.25" customHeight="1" x14ac:dyDescent="0.25">
      <c r="A202" s="21" t="s">
        <v>10</v>
      </c>
      <c r="B202" s="21" t="s">
        <v>11</v>
      </c>
      <c r="C202" s="21" t="s">
        <v>12</v>
      </c>
      <c r="D202" s="21" t="s">
        <v>10</v>
      </c>
      <c r="E202" s="21" t="s">
        <v>20</v>
      </c>
      <c r="F202" s="21" t="s">
        <v>10</v>
      </c>
      <c r="G202" s="21" t="s">
        <v>19</v>
      </c>
      <c r="H202" s="21" t="s">
        <v>10</v>
      </c>
      <c r="I202" s="21" t="s">
        <v>18</v>
      </c>
      <c r="J202" s="21" t="s">
        <v>11</v>
      </c>
      <c r="K202" s="21" t="s">
        <v>10</v>
      </c>
      <c r="L202" s="21" t="s">
        <v>12</v>
      </c>
      <c r="M202" s="21" t="s">
        <v>11</v>
      </c>
      <c r="N202" s="21" t="s">
        <v>10</v>
      </c>
      <c r="O202" s="21" t="s">
        <v>18</v>
      </c>
      <c r="P202" s="21" t="s">
        <v>17</v>
      </c>
      <c r="Q202" s="21" t="s">
        <v>11</v>
      </c>
      <c r="R202" s="143"/>
      <c r="S202" s="146"/>
      <c r="T202" s="25"/>
      <c r="U202" s="59"/>
      <c r="V202" s="24">
        <v>36121.199999999997</v>
      </c>
      <c r="W202" s="59"/>
      <c r="X202" s="59"/>
      <c r="Y202" s="59"/>
      <c r="Z202" s="25">
        <f>T202+U202+V202+W202+X202+Y202</f>
        <v>36121.199999999997</v>
      </c>
      <c r="AA202" s="23">
        <v>2023</v>
      </c>
      <c r="AB202" s="75"/>
    </row>
    <row r="203" spans="1:31" s="16" customFormat="1" ht="29.25" x14ac:dyDescent="0.25">
      <c r="A203" s="13"/>
      <c r="B203" s="13"/>
      <c r="C203" s="13"/>
      <c r="D203" s="13"/>
      <c r="E203" s="13"/>
      <c r="F203" s="13"/>
      <c r="G203" s="13"/>
      <c r="H203" s="13"/>
      <c r="I203" s="14"/>
      <c r="J203" s="13"/>
      <c r="K203" s="13"/>
      <c r="L203" s="13"/>
      <c r="M203" s="13"/>
      <c r="N203" s="13"/>
      <c r="O203" s="13"/>
      <c r="P203" s="13"/>
      <c r="Q203" s="13"/>
      <c r="R203" s="12" t="s">
        <v>172</v>
      </c>
      <c r="S203" s="6" t="s">
        <v>2</v>
      </c>
      <c r="T203" s="60"/>
      <c r="U203" s="107"/>
      <c r="V203" s="60">
        <v>4.181</v>
      </c>
      <c r="W203" s="109"/>
      <c r="X203" s="109"/>
      <c r="Y203" s="109"/>
      <c r="Z203" s="61">
        <f>V203</f>
        <v>4.181</v>
      </c>
      <c r="AA203" s="6">
        <v>2023</v>
      </c>
      <c r="AB203" s="75" t="s">
        <v>196</v>
      </c>
      <c r="AC203" s="63"/>
      <c r="AD203" s="64"/>
      <c r="AE203" s="65"/>
    </row>
    <row r="204" spans="1:31" ht="21.6" customHeight="1" x14ac:dyDescent="0.25">
      <c r="A204" s="21" t="s">
        <v>10</v>
      </c>
      <c r="B204" s="21" t="s">
        <v>11</v>
      </c>
      <c r="C204" s="21" t="s">
        <v>12</v>
      </c>
      <c r="D204" s="21" t="s">
        <v>10</v>
      </c>
      <c r="E204" s="21" t="s">
        <v>20</v>
      </c>
      <c r="F204" s="21" t="s">
        <v>10</v>
      </c>
      <c r="G204" s="21" t="s">
        <v>19</v>
      </c>
      <c r="H204" s="21" t="s">
        <v>10</v>
      </c>
      <c r="I204" s="21" t="s">
        <v>18</v>
      </c>
      <c r="J204" s="21" t="s">
        <v>11</v>
      </c>
      <c r="K204" s="21" t="s">
        <v>10</v>
      </c>
      <c r="L204" s="21" t="s">
        <v>12</v>
      </c>
      <c r="M204" s="21" t="s">
        <v>10</v>
      </c>
      <c r="N204" s="21" t="s">
        <v>10</v>
      </c>
      <c r="O204" s="21" t="s">
        <v>10</v>
      </c>
      <c r="P204" s="21" t="s">
        <v>10</v>
      </c>
      <c r="Q204" s="21" t="s">
        <v>10</v>
      </c>
      <c r="R204" s="141" t="s">
        <v>187</v>
      </c>
      <c r="S204" s="144" t="s">
        <v>33</v>
      </c>
      <c r="T204" s="114"/>
      <c r="U204" s="114"/>
      <c r="V204" s="25">
        <f>V205+V206</f>
        <v>22828.2</v>
      </c>
      <c r="W204" s="59"/>
      <c r="X204" s="59"/>
      <c r="Y204" s="59"/>
      <c r="Z204" s="25">
        <f>Z205+Z206</f>
        <v>22828.2</v>
      </c>
      <c r="AA204" s="23">
        <v>2023</v>
      </c>
      <c r="AB204" s="77"/>
    </row>
    <row r="205" spans="1:31" ht="24.6" customHeight="1" x14ac:dyDescent="0.25">
      <c r="A205" s="21" t="s">
        <v>10</v>
      </c>
      <c r="B205" s="21" t="s">
        <v>11</v>
      </c>
      <c r="C205" s="21" t="s">
        <v>12</v>
      </c>
      <c r="D205" s="21" t="s">
        <v>10</v>
      </c>
      <c r="E205" s="21" t="s">
        <v>20</v>
      </c>
      <c r="F205" s="21" t="s">
        <v>10</v>
      </c>
      <c r="G205" s="21" t="s">
        <v>19</v>
      </c>
      <c r="H205" s="21" t="s">
        <v>10</v>
      </c>
      <c r="I205" s="21" t="s">
        <v>18</v>
      </c>
      <c r="J205" s="21" t="s">
        <v>11</v>
      </c>
      <c r="K205" s="21" t="s">
        <v>10</v>
      </c>
      <c r="L205" s="21" t="s">
        <v>12</v>
      </c>
      <c r="M205" s="21" t="s">
        <v>40</v>
      </c>
      <c r="N205" s="21" t="s">
        <v>10</v>
      </c>
      <c r="O205" s="21" t="s">
        <v>18</v>
      </c>
      <c r="P205" s="21" t="s">
        <v>17</v>
      </c>
      <c r="Q205" s="21" t="s">
        <v>11</v>
      </c>
      <c r="R205" s="142"/>
      <c r="S205" s="145"/>
      <c r="T205" s="25"/>
      <c r="U205" s="59"/>
      <c r="V205" s="24">
        <v>2282.9</v>
      </c>
      <c r="W205" s="59"/>
      <c r="X205" s="59"/>
      <c r="Y205" s="59"/>
      <c r="Z205" s="25">
        <f>T205+U205+V205+W205+X205+Y205</f>
        <v>2282.9</v>
      </c>
      <c r="AA205" s="23">
        <v>2023</v>
      </c>
      <c r="AB205" s="75"/>
    </row>
    <row r="206" spans="1:31" ht="18" customHeight="1" x14ac:dyDescent="0.25">
      <c r="A206" s="21" t="s">
        <v>10</v>
      </c>
      <c r="B206" s="21" t="s">
        <v>11</v>
      </c>
      <c r="C206" s="21" t="s">
        <v>12</v>
      </c>
      <c r="D206" s="21" t="s">
        <v>10</v>
      </c>
      <c r="E206" s="21" t="s">
        <v>20</v>
      </c>
      <c r="F206" s="21" t="s">
        <v>10</v>
      </c>
      <c r="G206" s="21" t="s">
        <v>19</v>
      </c>
      <c r="H206" s="21" t="s">
        <v>10</v>
      </c>
      <c r="I206" s="21" t="s">
        <v>18</v>
      </c>
      <c r="J206" s="21" t="s">
        <v>11</v>
      </c>
      <c r="K206" s="21" t="s">
        <v>10</v>
      </c>
      <c r="L206" s="21" t="s">
        <v>12</v>
      </c>
      <c r="M206" s="21" t="s">
        <v>11</v>
      </c>
      <c r="N206" s="21" t="s">
        <v>10</v>
      </c>
      <c r="O206" s="21" t="s">
        <v>18</v>
      </c>
      <c r="P206" s="21" t="s">
        <v>17</v>
      </c>
      <c r="Q206" s="21" t="s">
        <v>11</v>
      </c>
      <c r="R206" s="143"/>
      <c r="S206" s="146"/>
      <c r="T206" s="25"/>
      <c r="U206" s="59"/>
      <c r="V206" s="24">
        <v>20545.3</v>
      </c>
      <c r="W206" s="59"/>
      <c r="X206" s="59"/>
      <c r="Y206" s="59"/>
      <c r="Z206" s="25">
        <f>T206+U206+V206+W206+X206+Y206</f>
        <v>20545.3</v>
      </c>
      <c r="AA206" s="23">
        <v>2023</v>
      </c>
      <c r="AB206" s="75"/>
    </row>
    <row r="207" spans="1:31" s="16" customFormat="1" ht="31.5" customHeight="1" x14ac:dyDescent="0.25">
      <c r="A207" s="13"/>
      <c r="B207" s="13"/>
      <c r="C207" s="13"/>
      <c r="D207" s="13"/>
      <c r="E207" s="13"/>
      <c r="F207" s="13"/>
      <c r="G207" s="13"/>
      <c r="H207" s="13"/>
      <c r="I207" s="14"/>
      <c r="J207" s="13"/>
      <c r="K207" s="13"/>
      <c r="L207" s="13"/>
      <c r="M207" s="13"/>
      <c r="N207" s="13"/>
      <c r="O207" s="13"/>
      <c r="P207" s="13"/>
      <c r="Q207" s="13"/>
      <c r="R207" s="138" t="s">
        <v>172</v>
      </c>
      <c r="S207" s="6" t="s">
        <v>2</v>
      </c>
      <c r="T207" s="60"/>
      <c r="U207" s="107"/>
      <c r="V207" s="60">
        <v>1.8959999999999999</v>
      </c>
      <c r="W207" s="109"/>
      <c r="X207" s="109"/>
      <c r="Y207" s="109"/>
      <c r="Z207" s="61">
        <f>V207</f>
        <v>1.8959999999999999</v>
      </c>
      <c r="AA207" s="6">
        <v>2023</v>
      </c>
      <c r="AB207" s="75" t="s">
        <v>196</v>
      </c>
      <c r="AC207" s="63"/>
      <c r="AD207" s="64"/>
      <c r="AE207" s="65"/>
    </row>
    <row r="208" spans="1:31" ht="19.5" customHeight="1" x14ac:dyDescent="0.25">
      <c r="A208" s="21" t="s">
        <v>10</v>
      </c>
      <c r="B208" s="21" t="s">
        <v>11</v>
      </c>
      <c r="C208" s="21" t="s">
        <v>12</v>
      </c>
      <c r="D208" s="21" t="s">
        <v>10</v>
      </c>
      <c r="E208" s="21" t="s">
        <v>20</v>
      </c>
      <c r="F208" s="21" t="s">
        <v>10</v>
      </c>
      <c r="G208" s="21" t="s">
        <v>19</v>
      </c>
      <c r="H208" s="21" t="s">
        <v>10</v>
      </c>
      <c r="I208" s="21" t="s">
        <v>18</v>
      </c>
      <c r="J208" s="21" t="s">
        <v>11</v>
      </c>
      <c r="K208" s="21" t="s">
        <v>10</v>
      </c>
      <c r="L208" s="21" t="s">
        <v>12</v>
      </c>
      <c r="M208" s="21" t="s">
        <v>10</v>
      </c>
      <c r="N208" s="21" t="s">
        <v>10</v>
      </c>
      <c r="O208" s="21" t="s">
        <v>10</v>
      </c>
      <c r="P208" s="21" t="s">
        <v>10</v>
      </c>
      <c r="Q208" s="21" t="s">
        <v>10</v>
      </c>
      <c r="R208" s="141" t="s">
        <v>188</v>
      </c>
      <c r="S208" s="144" t="s">
        <v>33</v>
      </c>
      <c r="T208" s="114"/>
      <c r="U208" s="114"/>
      <c r="V208" s="25">
        <f>V209+V210</f>
        <v>2761.6</v>
      </c>
      <c r="W208" s="59"/>
      <c r="X208" s="59"/>
      <c r="Y208" s="59"/>
      <c r="Z208" s="25">
        <f>Z209+Z210</f>
        <v>2761.6</v>
      </c>
      <c r="AA208" s="23">
        <v>2023</v>
      </c>
      <c r="AB208" s="77"/>
    </row>
    <row r="209" spans="1:31" ht="21" customHeight="1" x14ac:dyDescent="0.25">
      <c r="A209" s="21" t="s">
        <v>10</v>
      </c>
      <c r="B209" s="21" t="s">
        <v>11</v>
      </c>
      <c r="C209" s="21" t="s">
        <v>12</v>
      </c>
      <c r="D209" s="21" t="s">
        <v>10</v>
      </c>
      <c r="E209" s="21" t="s">
        <v>20</v>
      </c>
      <c r="F209" s="21" t="s">
        <v>10</v>
      </c>
      <c r="G209" s="21" t="s">
        <v>19</v>
      </c>
      <c r="H209" s="21" t="s">
        <v>10</v>
      </c>
      <c r="I209" s="21" t="s">
        <v>18</v>
      </c>
      <c r="J209" s="21" t="s">
        <v>11</v>
      </c>
      <c r="K209" s="21" t="s">
        <v>10</v>
      </c>
      <c r="L209" s="21" t="s">
        <v>12</v>
      </c>
      <c r="M209" s="21" t="s">
        <v>40</v>
      </c>
      <c r="N209" s="21" t="s">
        <v>10</v>
      </c>
      <c r="O209" s="21" t="s">
        <v>18</v>
      </c>
      <c r="P209" s="21" t="s">
        <v>17</v>
      </c>
      <c r="Q209" s="21" t="s">
        <v>11</v>
      </c>
      <c r="R209" s="142"/>
      <c r="S209" s="145"/>
      <c r="T209" s="25"/>
      <c r="U209" s="59"/>
      <c r="V209" s="24">
        <v>276.2</v>
      </c>
      <c r="W209" s="59"/>
      <c r="X209" s="59"/>
      <c r="Y209" s="59"/>
      <c r="Z209" s="25">
        <f>T209+U209+V209+W209+X209+Y209</f>
        <v>276.2</v>
      </c>
      <c r="AA209" s="23">
        <v>2023</v>
      </c>
      <c r="AB209" s="75"/>
    </row>
    <row r="210" spans="1:31" ht="20.25" customHeight="1" x14ac:dyDescent="0.25">
      <c r="A210" s="21" t="s">
        <v>10</v>
      </c>
      <c r="B210" s="21" t="s">
        <v>11</v>
      </c>
      <c r="C210" s="21" t="s">
        <v>12</v>
      </c>
      <c r="D210" s="21" t="s">
        <v>10</v>
      </c>
      <c r="E210" s="21" t="s">
        <v>20</v>
      </c>
      <c r="F210" s="21" t="s">
        <v>10</v>
      </c>
      <c r="G210" s="21" t="s">
        <v>19</v>
      </c>
      <c r="H210" s="21" t="s">
        <v>10</v>
      </c>
      <c r="I210" s="21" t="s">
        <v>18</v>
      </c>
      <c r="J210" s="21" t="s">
        <v>11</v>
      </c>
      <c r="K210" s="21" t="s">
        <v>10</v>
      </c>
      <c r="L210" s="21" t="s">
        <v>12</v>
      </c>
      <c r="M210" s="21" t="s">
        <v>11</v>
      </c>
      <c r="N210" s="21" t="s">
        <v>10</v>
      </c>
      <c r="O210" s="21" t="s">
        <v>18</v>
      </c>
      <c r="P210" s="21" t="s">
        <v>17</v>
      </c>
      <c r="Q210" s="21" t="s">
        <v>11</v>
      </c>
      <c r="R210" s="143"/>
      <c r="S210" s="146"/>
      <c r="T210" s="25"/>
      <c r="U210" s="59"/>
      <c r="V210" s="24">
        <v>2485.4</v>
      </c>
      <c r="W210" s="59"/>
      <c r="X210" s="59"/>
      <c r="Y210" s="59"/>
      <c r="Z210" s="25">
        <f>T210+U210+V210+W210+X210+Y210</f>
        <v>2485.4</v>
      </c>
      <c r="AA210" s="23">
        <v>2023</v>
      </c>
      <c r="AB210" s="75"/>
    </row>
    <row r="211" spans="1:31" s="16" customFormat="1" ht="31.5" customHeight="1" x14ac:dyDescent="0.25">
      <c r="A211" s="13"/>
      <c r="B211" s="13"/>
      <c r="C211" s="13"/>
      <c r="D211" s="13"/>
      <c r="E211" s="13"/>
      <c r="F211" s="13"/>
      <c r="G211" s="13"/>
      <c r="H211" s="13"/>
      <c r="I211" s="14"/>
      <c r="J211" s="13"/>
      <c r="K211" s="13"/>
      <c r="L211" s="13"/>
      <c r="M211" s="13"/>
      <c r="N211" s="13"/>
      <c r="O211" s="13"/>
      <c r="P211" s="13"/>
      <c r="Q211" s="13"/>
      <c r="R211" s="138" t="s">
        <v>189</v>
      </c>
      <c r="S211" s="6" t="s">
        <v>2</v>
      </c>
      <c r="T211" s="60"/>
      <c r="U211" s="107"/>
      <c r="V211" s="60">
        <v>0.26</v>
      </c>
      <c r="W211" s="109"/>
      <c r="X211" s="109"/>
      <c r="Y211" s="109"/>
      <c r="Z211" s="61">
        <f>V211</f>
        <v>0.26</v>
      </c>
      <c r="AA211" s="6">
        <v>2023</v>
      </c>
      <c r="AB211" s="75" t="s">
        <v>198</v>
      </c>
      <c r="AC211" s="63"/>
      <c r="AD211" s="64"/>
      <c r="AE211" s="65"/>
    </row>
    <row r="212" spans="1:31" ht="21" customHeight="1" x14ac:dyDescent="0.25">
      <c r="A212" s="21" t="s">
        <v>10</v>
      </c>
      <c r="B212" s="21" t="s">
        <v>11</v>
      </c>
      <c r="C212" s="21" t="s">
        <v>12</v>
      </c>
      <c r="D212" s="21" t="s">
        <v>10</v>
      </c>
      <c r="E212" s="21" t="s">
        <v>20</v>
      </c>
      <c r="F212" s="21" t="s">
        <v>10</v>
      </c>
      <c r="G212" s="21" t="s">
        <v>19</v>
      </c>
      <c r="H212" s="21" t="s">
        <v>10</v>
      </c>
      <c r="I212" s="21" t="s">
        <v>18</v>
      </c>
      <c r="J212" s="21" t="s">
        <v>11</v>
      </c>
      <c r="K212" s="21" t="s">
        <v>10</v>
      </c>
      <c r="L212" s="21" t="s">
        <v>12</v>
      </c>
      <c r="M212" s="21" t="s">
        <v>10</v>
      </c>
      <c r="N212" s="21" t="s">
        <v>10</v>
      </c>
      <c r="O212" s="21" t="s">
        <v>10</v>
      </c>
      <c r="P212" s="21" t="s">
        <v>10</v>
      </c>
      <c r="Q212" s="21" t="s">
        <v>10</v>
      </c>
      <c r="R212" s="141" t="s">
        <v>191</v>
      </c>
      <c r="S212" s="144" t="s">
        <v>33</v>
      </c>
      <c r="T212" s="114"/>
      <c r="U212" s="114"/>
      <c r="V212" s="25">
        <f>V213+V214</f>
        <v>3299.3</v>
      </c>
      <c r="W212" s="59"/>
      <c r="X212" s="59"/>
      <c r="Y212" s="59"/>
      <c r="Z212" s="25">
        <f>Z213+Z214</f>
        <v>3299.3</v>
      </c>
      <c r="AA212" s="23">
        <v>2023</v>
      </c>
      <c r="AB212" s="77"/>
    </row>
    <row r="213" spans="1:31" ht="21.75" customHeight="1" x14ac:dyDescent="0.25">
      <c r="A213" s="21" t="s">
        <v>10</v>
      </c>
      <c r="B213" s="21" t="s">
        <v>11</v>
      </c>
      <c r="C213" s="21" t="s">
        <v>12</v>
      </c>
      <c r="D213" s="21" t="s">
        <v>10</v>
      </c>
      <c r="E213" s="21" t="s">
        <v>20</v>
      </c>
      <c r="F213" s="21" t="s">
        <v>10</v>
      </c>
      <c r="G213" s="21" t="s">
        <v>19</v>
      </c>
      <c r="H213" s="21" t="s">
        <v>10</v>
      </c>
      <c r="I213" s="21" t="s">
        <v>18</v>
      </c>
      <c r="J213" s="21" t="s">
        <v>11</v>
      </c>
      <c r="K213" s="21" t="s">
        <v>10</v>
      </c>
      <c r="L213" s="21" t="s">
        <v>12</v>
      </c>
      <c r="M213" s="21" t="s">
        <v>40</v>
      </c>
      <c r="N213" s="21" t="s">
        <v>10</v>
      </c>
      <c r="O213" s="21" t="s">
        <v>18</v>
      </c>
      <c r="P213" s="21" t="s">
        <v>17</v>
      </c>
      <c r="Q213" s="21" t="s">
        <v>11</v>
      </c>
      <c r="R213" s="142"/>
      <c r="S213" s="145"/>
      <c r="T213" s="25"/>
      <c r="U213" s="59"/>
      <c r="V213" s="24">
        <v>330</v>
      </c>
      <c r="W213" s="59"/>
      <c r="X213" s="59"/>
      <c r="Y213" s="59"/>
      <c r="Z213" s="25">
        <f>T213+U213+V213+W213+X213+Y213</f>
        <v>330</v>
      </c>
      <c r="AA213" s="23">
        <v>2023</v>
      </c>
      <c r="AB213" s="75"/>
    </row>
    <row r="214" spans="1:31" ht="22.5" customHeight="1" x14ac:dyDescent="0.25">
      <c r="A214" s="21" t="s">
        <v>10</v>
      </c>
      <c r="B214" s="21" t="s">
        <v>11</v>
      </c>
      <c r="C214" s="21" t="s">
        <v>12</v>
      </c>
      <c r="D214" s="21" t="s">
        <v>10</v>
      </c>
      <c r="E214" s="21" t="s">
        <v>20</v>
      </c>
      <c r="F214" s="21" t="s">
        <v>10</v>
      </c>
      <c r="G214" s="21" t="s">
        <v>19</v>
      </c>
      <c r="H214" s="21" t="s">
        <v>10</v>
      </c>
      <c r="I214" s="21" t="s">
        <v>18</v>
      </c>
      <c r="J214" s="21" t="s">
        <v>11</v>
      </c>
      <c r="K214" s="21" t="s">
        <v>10</v>
      </c>
      <c r="L214" s="21" t="s">
        <v>12</v>
      </c>
      <c r="M214" s="21" t="s">
        <v>11</v>
      </c>
      <c r="N214" s="21" t="s">
        <v>10</v>
      </c>
      <c r="O214" s="21" t="s">
        <v>18</v>
      </c>
      <c r="P214" s="21" t="s">
        <v>17</v>
      </c>
      <c r="Q214" s="21" t="s">
        <v>11</v>
      </c>
      <c r="R214" s="143"/>
      <c r="S214" s="146"/>
      <c r="T214" s="25"/>
      <c r="U214" s="59"/>
      <c r="V214" s="24">
        <v>2969.3</v>
      </c>
      <c r="W214" s="59"/>
      <c r="X214" s="59"/>
      <c r="Y214" s="59"/>
      <c r="Z214" s="25">
        <f>T214+U214+V214+W214+X214+Y214</f>
        <v>2969.3</v>
      </c>
      <c r="AA214" s="23">
        <v>2023</v>
      </c>
      <c r="AB214" s="75"/>
    </row>
    <row r="215" spans="1:31" s="16" customFormat="1" ht="32.25" customHeight="1" x14ac:dyDescent="0.25">
      <c r="A215" s="13"/>
      <c r="B215" s="13"/>
      <c r="C215" s="13"/>
      <c r="D215" s="13"/>
      <c r="E215" s="13"/>
      <c r="F215" s="13"/>
      <c r="G215" s="13"/>
      <c r="H215" s="13"/>
      <c r="I215" s="14"/>
      <c r="J215" s="13"/>
      <c r="K215" s="13"/>
      <c r="L215" s="13"/>
      <c r="M215" s="13"/>
      <c r="N215" s="13"/>
      <c r="O215" s="13"/>
      <c r="P215" s="13"/>
      <c r="Q215" s="13"/>
      <c r="R215" s="138" t="s">
        <v>172</v>
      </c>
      <c r="S215" s="6" t="s">
        <v>2</v>
      </c>
      <c r="T215" s="60"/>
      <c r="U215" s="107"/>
      <c r="V215" s="60">
        <v>0.33900000000000002</v>
      </c>
      <c r="W215" s="109"/>
      <c r="X215" s="109"/>
      <c r="Y215" s="109"/>
      <c r="Z215" s="61">
        <f>V215</f>
        <v>0.33900000000000002</v>
      </c>
      <c r="AA215" s="6">
        <v>2023</v>
      </c>
      <c r="AB215" s="75" t="s">
        <v>196</v>
      </c>
      <c r="AC215" s="63"/>
      <c r="AD215" s="64"/>
      <c r="AE215" s="65"/>
    </row>
    <row r="216" spans="1:31" x14ac:dyDescent="0.25">
      <c r="A216" s="21" t="s">
        <v>10</v>
      </c>
      <c r="B216" s="21" t="s">
        <v>11</v>
      </c>
      <c r="C216" s="21" t="s">
        <v>12</v>
      </c>
      <c r="D216" s="21" t="s">
        <v>10</v>
      </c>
      <c r="E216" s="21" t="s">
        <v>20</v>
      </c>
      <c r="F216" s="21" t="s">
        <v>10</v>
      </c>
      <c r="G216" s="21" t="s">
        <v>19</v>
      </c>
      <c r="H216" s="21" t="s">
        <v>10</v>
      </c>
      <c r="I216" s="21" t="s">
        <v>18</v>
      </c>
      <c r="J216" s="21" t="s">
        <v>11</v>
      </c>
      <c r="K216" s="21" t="s">
        <v>10</v>
      </c>
      <c r="L216" s="21" t="s">
        <v>12</v>
      </c>
      <c r="M216" s="21" t="s">
        <v>10</v>
      </c>
      <c r="N216" s="21" t="s">
        <v>10</v>
      </c>
      <c r="O216" s="21" t="s">
        <v>10</v>
      </c>
      <c r="P216" s="21" t="s">
        <v>10</v>
      </c>
      <c r="Q216" s="21" t="s">
        <v>10</v>
      </c>
      <c r="R216" s="141" t="s">
        <v>210</v>
      </c>
      <c r="S216" s="144" t="s">
        <v>33</v>
      </c>
      <c r="T216" s="114"/>
      <c r="U216" s="114"/>
      <c r="V216" s="25">
        <f>V217+V218</f>
        <v>9089.7999999999993</v>
      </c>
      <c r="W216" s="25">
        <f>W219+W220</f>
        <v>2983.5000000000009</v>
      </c>
      <c r="X216" s="59"/>
      <c r="Y216" s="59"/>
      <c r="Z216" s="25">
        <f>T216+U216+V216+W216+X216+Y216</f>
        <v>12073.3</v>
      </c>
      <c r="AA216" s="23">
        <v>2024</v>
      </c>
      <c r="AB216" s="72" t="s">
        <v>200</v>
      </c>
    </row>
    <row r="217" spans="1:31" x14ac:dyDescent="0.25">
      <c r="A217" s="21" t="s">
        <v>10</v>
      </c>
      <c r="B217" s="21" t="s">
        <v>11</v>
      </c>
      <c r="C217" s="21" t="s">
        <v>12</v>
      </c>
      <c r="D217" s="21" t="s">
        <v>10</v>
      </c>
      <c r="E217" s="21" t="s">
        <v>20</v>
      </c>
      <c r="F217" s="21" t="s">
        <v>10</v>
      </c>
      <c r="G217" s="21" t="s">
        <v>19</v>
      </c>
      <c r="H217" s="21" t="s">
        <v>10</v>
      </c>
      <c r="I217" s="21" t="s">
        <v>18</v>
      </c>
      <c r="J217" s="21" t="s">
        <v>11</v>
      </c>
      <c r="K217" s="21" t="s">
        <v>10</v>
      </c>
      <c r="L217" s="21" t="s">
        <v>12</v>
      </c>
      <c r="M217" s="21" t="s">
        <v>40</v>
      </c>
      <c r="N217" s="21" t="s">
        <v>10</v>
      </c>
      <c r="O217" s="21" t="s">
        <v>18</v>
      </c>
      <c r="P217" s="21" t="s">
        <v>17</v>
      </c>
      <c r="Q217" s="21" t="s">
        <v>11</v>
      </c>
      <c r="R217" s="142"/>
      <c r="S217" s="145"/>
      <c r="T217" s="25"/>
      <c r="U217" s="59"/>
      <c r="V217" s="24">
        <v>909</v>
      </c>
      <c r="W217" s="24"/>
      <c r="X217" s="59"/>
      <c r="Y217" s="59"/>
      <c r="Z217" s="25">
        <f>T217+U217+V217+W217+X217+Y217</f>
        <v>909</v>
      </c>
      <c r="AA217" s="23">
        <v>2023</v>
      </c>
      <c r="AB217" s="75"/>
    </row>
    <row r="218" spans="1:31" x14ac:dyDescent="0.25">
      <c r="A218" s="21" t="s">
        <v>10</v>
      </c>
      <c r="B218" s="21" t="s">
        <v>11</v>
      </c>
      <c r="C218" s="21" t="s">
        <v>12</v>
      </c>
      <c r="D218" s="21" t="s">
        <v>10</v>
      </c>
      <c r="E218" s="21" t="s">
        <v>20</v>
      </c>
      <c r="F218" s="21" t="s">
        <v>10</v>
      </c>
      <c r="G218" s="21" t="s">
        <v>19</v>
      </c>
      <c r="H218" s="21" t="s">
        <v>10</v>
      </c>
      <c r="I218" s="21" t="s">
        <v>18</v>
      </c>
      <c r="J218" s="21" t="s">
        <v>11</v>
      </c>
      <c r="K218" s="21" t="s">
        <v>10</v>
      </c>
      <c r="L218" s="21" t="s">
        <v>12</v>
      </c>
      <c r="M218" s="21" t="s">
        <v>11</v>
      </c>
      <c r="N218" s="21" t="s">
        <v>10</v>
      </c>
      <c r="O218" s="21" t="s">
        <v>18</v>
      </c>
      <c r="P218" s="21" t="s">
        <v>17</v>
      </c>
      <c r="Q218" s="21" t="s">
        <v>11</v>
      </c>
      <c r="R218" s="142"/>
      <c r="S218" s="145"/>
      <c r="T218" s="25"/>
      <c r="U218" s="59"/>
      <c r="V218" s="24">
        <v>8180.8</v>
      </c>
      <c r="W218" s="24"/>
      <c r="X218" s="59"/>
      <c r="Y218" s="59"/>
      <c r="Z218" s="25">
        <f t="shared" ref="Z218:Z220" si="24">T218+U218+V218+W218+X218+Y218</f>
        <v>8180.8</v>
      </c>
      <c r="AA218" s="23">
        <v>2023</v>
      </c>
      <c r="AB218" s="75"/>
    </row>
    <row r="219" spans="1:31" ht="15" x14ac:dyDescent="0.25">
      <c r="A219" s="21" t="s">
        <v>10</v>
      </c>
      <c r="B219" s="21" t="s">
        <v>11</v>
      </c>
      <c r="C219" s="21" t="s">
        <v>12</v>
      </c>
      <c r="D219" s="21" t="s">
        <v>10</v>
      </c>
      <c r="E219" s="21" t="s">
        <v>20</v>
      </c>
      <c r="F219" s="21" t="s">
        <v>10</v>
      </c>
      <c r="G219" s="21" t="s">
        <v>19</v>
      </c>
      <c r="H219" s="21" t="s">
        <v>10</v>
      </c>
      <c r="I219" s="21" t="s">
        <v>18</v>
      </c>
      <c r="J219" s="21" t="s">
        <v>11</v>
      </c>
      <c r="K219" s="21" t="s">
        <v>10</v>
      </c>
      <c r="L219" s="21" t="s">
        <v>12</v>
      </c>
      <c r="M219" s="21" t="s">
        <v>40</v>
      </c>
      <c r="N219" s="21" t="s">
        <v>10</v>
      </c>
      <c r="O219" s="21" t="s">
        <v>11</v>
      </c>
      <c r="P219" s="21" t="s">
        <v>17</v>
      </c>
      <c r="Q219" s="21" t="s">
        <v>11</v>
      </c>
      <c r="R219" s="142"/>
      <c r="S219" s="145"/>
      <c r="T219" s="25"/>
      <c r="U219" s="59"/>
      <c r="V219" s="24"/>
      <c r="W219" s="24">
        <f>1187.2-278.2-610.7</f>
        <v>298.29999999999995</v>
      </c>
      <c r="X219" s="59"/>
      <c r="Y219" s="59"/>
      <c r="Z219" s="25">
        <f t="shared" si="24"/>
        <v>298.29999999999995</v>
      </c>
      <c r="AA219" s="23">
        <v>2024</v>
      </c>
      <c r="AB219" s="25"/>
    </row>
    <row r="220" spans="1:31" x14ac:dyDescent="0.25">
      <c r="A220" s="21" t="s">
        <v>10</v>
      </c>
      <c r="B220" s="21" t="s">
        <v>11</v>
      </c>
      <c r="C220" s="21" t="s">
        <v>12</v>
      </c>
      <c r="D220" s="21" t="s">
        <v>10</v>
      </c>
      <c r="E220" s="21" t="s">
        <v>20</v>
      </c>
      <c r="F220" s="21" t="s">
        <v>10</v>
      </c>
      <c r="G220" s="21" t="s">
        <v>19</v>
      </c>
      <c r="H220" s="21" t="s">
        <v>10</v>
      </c>
      <c r="I220" s="21" t="s">
        <v>18</v>
      </c>
      <c r="J220" s="21" t="s">
        <v>11</v>
      </c>
      <c r="K220" s="21" t="s">
        <v>10</v>
      </c>
      <c r="L220" s="21" t="s">
        <v>12</v>
      </c>
      <c r="M220" s="21" t="s">
        <v>11</v>
      </c>
      <c r="N220" s="21" t="s">
        <v>10</v>
      </c>
      <c r="O220" s="21" t="s">
        <v>11</v>
      </c>
      <c r="P220" s="21" t="s">
        <v>17</v>
      </c>
      <c r="Q220" s="21" t="s">
        <v>11</v>
      </c>
      <c r="R220" s="143"/>
      <c r="S220" s="146"/>
      <c r="T220" s="25"/>
      <c r="U220" s="59"/>
      <c r="V220" s="24"/>
      <c r="W220" s="24">
        <f>10684.7-2503.9-5495.6</f>
        <v>2685.2000000000007</v>
      </c>
      <c r="X220" s="59"/>
      <c r="Y220" s="59"/>
      <c r="Z220" s="25">
        <f t="shared" si="24"/>
        <v>2685.2000000000007</v>
      </c>
      <c r="AA220" s="23">
        <v>2024</v>
      </c>
      <c r="AB220" s="75"/>
    </row>
    <row r="221" spans="1:31" s="16" customFormat="1" ht="35.25" customHeight="1" x14ac:dyDescent="0.25">
      <c r="A221" s="13"/>
      <c r="B221" s="13"/>
      <c r="C221" s="13"/>
      <c r="D221" s="13"/>
      <c r="E221" s="13"/>
      <c r="F221" s="13"/>
      <c r="G221" s="13"/>
      <c r="H221" s="13"/>
      <c r="I221" s="14"/>
      <c r="J221" s="13"/>
      <c r="K221" s="13"/>
      <c r="L221" s="13"/>
      <c r="M221" s="13"/>
      <c r="N221" s="13"/>
      <c r="O221" s="13"/>
      <c r="P221" s="13"/>
      <c r="Q221" s="13"/>
      <c r="R221" s="138" t="s">
        <v>213</v>
      </c>
      <c r="S221" s="6" t="s">
        <v>39</v>
      </c>
      <c r="T221" s="60"/>
      <c r="U221" s="107"/>
      <c r="V221" s="60">
        <v>1.58</v>
      </c>
      <c r="W221" s="60"/>
      <c r="X221" s="109"/>
      <c r="Y221" s="109"/>
      <c r="Z221" s="61">
        <f>V221</f>
        <v>1.58</v>
      </c>
      <c r="AA221" s="6">
        <v>2023</v>
      </c>
      <c r="AB221" s="75"/>
      <c r="AC221" s="63"/>
      <c r="AD221" s="64"/>
      <c r="AE221" s="65"/>
    </row>
    <row r="222" spans="1:31" s="1" customFormat="1" ht="29.2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25" t="s">
        <v>176</v>
      </c>
      <c r="S222" s="58" t="s">
        <v>1</v>
      </c>
      <c r="T222" s="5"/>
      <c r="U222" s="5"/>
      <c r="V222" s="107"/>
      <c r="W222" s="5">
        <v>100</v>
      </c>
      <c r="X222" s="107"/>
      <c r="Y222" s="107"/>
      <c r="Z222" s="3">
        <f>V222+W222</f>
        <v>100</v>
      </c>
      <c r="AA222" s="6">
        <v>2024</v>
      </c>
      <c r="AB222" s="78"/>
      <c r="AC222" s="17"/>
      <c r="AD222" s="17"/>
    </row>
    <row r="223" spans="1:31" ht="21.6" customHeight="1" x14ac:dyDescent="0.25">
      <c r="A223" s="21" t="s">
        <v>10</v>
      </c>
      <c r="B223" s="21" t="s">
        <v>11</v>
      </c>
      <c r="C223" s="21" t="s">
        <v>12</v>
      </c>
      <c r="D223" s="21" t="s">
        <v>10</v>
      </c>
      <c r="E223" s="21" t="s">
        <v>20</v>
      </c>
      <c r="F223" s="21" t="s">
        <v>10</v>
      </c>
      <c r="G223" s="21" t="s">
        <v>19</v>
      </c>
      <c r="H223" s="21" t="s">
        <v>10</v>
      </c>
      <c r="I223" s="21" t="s">
        <v>18</v>
      </c>
      <c r="J223" s="21" t="s">
        <v>11</v>
      </c>
      <c r="K223" s="21" t="s">
        <v>10</v>
      </c>
      <c r="L223" s="21" t="s">
        <v>12</v>
      </c>
      <c r="M223" s="21" t="s">
        <v>10</v>
      </c>
      <c r="N223" s="21" t="s">
        <v>10</v>
      </c>
      <c r="O223" s="21" t="s">
        <v>10</v>
      </c>
      <c r="P223" s="21" t="s">
        <v>10</v>
      </c>
      <c r="Q223" s="21" t="s">
        <v>10</v>
      </c>
      <c r="R223" s="141" t="s">
        <v>211</v>
      </c>
      <c r="S223" s="144" t="s">
        <v>33</v>
      </c>
      <c r="T223" s="114"/>
      <c r="U223" s="114"/>
      <c r="V223" s="59"/>
      <c r="W223" s="25">
        <f>W224+W225</f>
        <v>31942.6</v>
      </c>
      <c r="X223" s="59"/>
      <c r="Y223" s="59"/>
      <c r="Z223" s="25">
        <f>Z224+Z225</f>
        <v>31942.6</v>
      </c>
      <c r="AA223" s="23">
        <v>2024</v>
      </c>
      <c r="AB223" s="129" t="s">
        <v>200</v>
      </c>
    </row>
    <row r="224" spans="1:31" x14ac:dyDescent="0.25">
      <c r="A224" s="21" t="s">
        <v>10</v>
      </c>
      <c r="B224" s="21" t="s">
        <v>11</v>
      </c>
      <c r="C224" s="21" t="s">
        <v>12</v>
      </c>
      <c r="D224" s="21" t="s">
        <v>10</v>
      </c>
      <c r="E224" s="21" t="s">
        <v>20</v>
      </c>
      <c r="F224" s="21" t="s">
        <v>10</v>
      </c>
      <c r="G224" s="21" t="s">
        <v>19</v>
      </c>
      <c r="H224" s="21" t="s">
        <v>10</v>
      </c>
      <c r="I224" s="21" t="s">
        <v>18</v>
      </c>
      <c r="J224" s="21" t="s">
        <v>11</v>
      </c>
      <c r="K224" s="21" t="s">
        <v>10</v>
      </c>
      <c r="L224" s="21" t="s">
        <v>12</v>
      </c>
      <c r="M224" s="21" t="s">
        <v>40</v>
      </c>
      <c r="N224" s="21" t="s">
        <v>10</v>
      </c>
      <c r="O224" s="21" t="s">
        <v>11</v>
      </c>
      <c r="P224" s="21" t="s">
        <v>17</v>
      </c>
      <c r="Q224" s="21" t="s">
        <v>11</v>
      </c>
      <c r="R224" s="142"/>
      <c r="S224" s="145"/>
      <c r="T224" s="25"/>
      <c r="U224" s="59"/>
      <c r="V224" s="56"/>
      <c r="W224" s="24">
        <v>3194.3</v>
      </c>
      <c r="X224" s="59"/>
      <c r="Y224" s="59"/>
      <c r="Z224" s="25">
        <f>T224+U224+V224+W224+X224+Y224</f>
        <v>3194.3</v>
      </c>
      <c r="AA224" s="23">
        <v>2024</v>
      </c>
      <c r="AB224" s="75"/>
    </row>
    <row r="225" spans="1:31" x14ac:dyDescent="0.25">
      <c r="A225" s="21" t="s">
        <v>10</v>
      </c>
      <c r="B225" s="21" t="s">
        <v>11</v>
      </c>
      <c r="C225" s="21" t="s">
        <v>12</v>
      </c>
      <c r="D225" s="21" t="s">
        <v>10</v>
      </c>
      <c r="E225" s="21" t="s">
        <v>20</v>
      </c>
      <c r="F225" s="21" t="s">
        <v>10</v>
      </c>
      <c r="G225" s="21" t="s">
        <v>19</v>
      </c>
      <c r="H225" s="21" t="s">
        <v>10</v>
      </c>
      <c r="I225" s="21" t="s">
        <v>18</v>
      </c>
      <c r="J225" s="21" t="s">
        <v>11</v>
      </c>
      <c r="K225" s="21" t="s">
        <v>10</v>
      </c>
      <c r="L225" s="21" t="s">
        <v>12</v>
      </c>
      <c r="M225" s="21" t="s">
        <v>11</v>
      </c>
      <c r="N225" s="21" t="s">
        <v>10</v>
      </c>
      <c r="O225" s="21" t="s">
        <v>11</v>
      </c>
      <c r="P225" s="21" t="s">
        <v>17</v>
      </c>
      <c r="Q225" s="21" t="s">
        <v>11</v>
      </c>
      <c r="R225" s="143"/>
      <c r="S225" s="146"/>
      <c r="T225" s="25"/>
      <c r="U225" s="59"/>
      <c r="V225" s="56"/>
      <c r="W225" s="24">
        <v>28748.3</v>
      </c>
      <c r="X225" s="59"/>
      <c r="Y225" s="59"/>
      <c r="Z225" s="25">
        <f>T225+U225+V225+W225+X225+Y225</f>
        <v>28748.3</v>
      </c>
      <c r="AA225" s="23">
        <v>2024</v>
      </c>
      <c r="AB225" s="75"/>
    </row>
    <row r="226" spans="1:31" s="16" customFormat="1" ht="33.75" customHeight="1" x14ac:dyDescent="0.25">
      <c r="A226" s="13"/>
      <c r="B226" s="13"/>
      <c r="C226" s="13"/>
      <c r="D226" s="13"/>
      <c r="E226" s="13"/>
      <c r="F226" s="13"/>
      <c r="G226" s="13"/>
      <c r="H226" s="13"/>
      <c r="I226" s="14"/>
      <c r="J226" s="13"/>
      <c r="K226" s="13"/>
      <c r="L226" s="13"/>
      <c r="M226" s="13"/>
      <c r="N226" s="13"/>
      <c r="O226" s="13"/>
      <c r="P226" s="13"/>
      <c r="Q226" s="13"/>
      <c r="R226" s="138" t="s">
        <v>199</v>
      </c>
      <c r="S226" s="6" t="s">
        <v>39</v>
      </c>
      <c r="T226" s="60"/>
      <c r="U226" s="107"/>
      <c r="V226" s="109"/>
      <c r="W226" s="60">
        <v>3.8</v>
      </c>
      <c r="X226" s="109"/>
      <c r="Y226" s="109"/>
      <c r="Z226" s="61">
        <f>W226</f>
        <v>3.8</v>
      </c>
      <c r="AA226" s="6">
        <v>2024</v>
      </c>
      <c r="AB226" s="75"/>
      <c r="AC226" s="63"/>
      <c r="AD226" s="64"/>
      <c r="AE226" s="65"/>
    </row>
    <row r="227" spans="1:31" x14ac:dyDescent="0.25">
      <c r="A227" s="21" t="s">
        <v>10</v>
      </c>
      <c r="B227" s="21" t="s">
        <v>11</v>
      </c>
      <c r="C227" s="21" t="s">
        <v>12</v>
      </c>
      <c r="D227" s="21" t="s">
        <v>10</v>
      </c>
      <c r="E227" s="21" t="s">
        <v>20</v>
      </c>
      <c r="F227" s="21" t="s">
        <v>10</v>
      </c>
      <c r="G227" s="21" t="s">
        <v>19</v>
      </c>
      <c r="H227" s="21" t="s">
        <v>10</v>
      </c>
      <c r="I227" s="21" t="s">
        <v>18</v>
      </c>
      <c r="J227" s="21" t="s">
        <v>11</v>
      </c>
      <c r="K227" s="21" t="s">
        <v>10</v>
      </c>
      <c r="L227" s="21" t="s">
        <v>12</v>
      </c>
      <c r="M227" s="21" t="s">
        <v>10</v>
      </c>
      <c r="N227" s="21" t="s">
        <v>10</v>
      </c>
      <c r="O227" s="21" t="s">
        <v>10</v>
      </c>
      <c r="P227" s="21" t="s">
        <v>10</v>
      </c>
      <c r="Q227" s="21" t="s">
        <v>10</v>
      </c>
      <c r="R227" s="141" t="s">
        <v>246</v>
      </c>
      <c r="S227" s="144" t="s">
        <v>33</v>
      </c>
      <c r="T227" s="114"/>
      <c r="U227" s="114"/>
      <c r="V227" s="59"/>
      <c r="W227" s="25">
        <f>W228+W229</f>
        <v>26455.200000000001</v>
      </c>
      <c r="X227" s="59"/>
      <c r="Y227" s="59"/>
      <c r="Z227" s="25">
        <f>Z228+Z229</f>
        <v>26455.200000000001</v>
      </c>
      <c r="AA227" s="23">
        <v>2024</v>
      </c>
      <c r="AB227" s="129" t="s">
        <v>200</v>
      </c>
    </row>
    <row r="228" spans="1:31" x14ac:dyDescent="0.25">
      <c r="A228" s="21" t="s">
        <v>10</v>
      </c>
      <c r="B228" s="21" t="s">
        <v>11</v>
      </c>
      <c r="C228" s="21" t="s">
        <v>12</v>
      </c>
      <c r="D228" s="21" t="s">
        <v>10</v>
      </c>
      <c r="E228" s="21" t="s">
        <v>20</v>
      </c>
      <c r="F228" s="21" t="s">
        <v>10</v>
      </c>
      <c r="G228" s="21" t="s">
        <v>19</v>
      </c>
      <c r="H228" s="21" t="s">
        <v>10</v>
      </c>
      <c r="I228" s="21" t="s">
        <v>18</v>
      </c>
      <c r="J228" s="21" t="s">
        <v>11</v>
      </c>
      <c r="K228" s="21" t="s">
        <v>10</v>
      </c>
      <c r="L228" s="21" t="s">
        <v>12</v>
      </c>
      <c r="M228" s="21" t="s">
        <v>40</v>
      </c>
      <c r="N228" s="21" t="s">
        <v>10</v>
      </c>
      <c r="O228" s="21" t="s">
        <v>11</v>
      </c>
      <c r="P228" s="21" t="s">
        <v>17</v>
      </c>
      <c r="Q228" s="21" t="s">
        <v>11</v>
      </c>
      <c r="R228" s="142"/>
      <c r="S228" s="145"/>
      <c r="T228" s="25"/>
      <c r="U228" s="59"/>
      <c r="V228" s="56"/>
      <c r="W228" s="24">
        <f>2936-290.5</f>
        <v>2645.5</v>
      </c>
      <c r="X228" s="59"/>
      <c r="Y228" s="59"/>
      <c r="Z228" s="25">
        <f>T228+U228+V228+W228+X228+Y228</f>
        <v>2645.5</v>
      </c>
      <c r="AA228" s="23">
        <v>2024</v>
      </c>
      <c r="AB228" s="75"/>
    </row>
    <row r="229" spans="1:31" x14ac:dyDescent="0.25">
      <c r="A229" s="21" t="s">
        <v>10</v>
      </c>
      <c r="B229" s="21" t="s">
        <v>11</v>
      </c>
      <c r="C229" s="21" t="s">
        <v>12</v>
      </c>
      <c r="D229" s="21" t="s">
        <v>10</v>
      </c>
      <c r="E229" s="21" t="s">
        <v>20</v>
      </c>
      <c r="F229" s="21" t="s">
        <v>10</v>
      </c>
      <c r="G229" s="21" t="s">
        <v>19</v>
      </c>
      <c r="H229" s="21" t="s">
        <v>10</v>
      </c>
      <c r="I229" s="21" t="s">
        <v>18</v>
      </c>
      <c r="J229" s="21" t="s">
        <v>11</v>
      </c>
      <c r="K229" s="21" t="s">
        <v>10</v>
      </c>
      <c r="L229" s="21" t="s">
        <v>12</v>
      </c>
      <c r="M229" s="21" t="s">
        <v>11</v>
      </c>
      <c r="N229" s="21" t="s">
        <v>10</v>
      </c>
      <c r="O229" s="21" t="s">
        <v>11</v>
      </c>
      <c r="P229" s="21" t="s">
        <v>17</v>
      </c>
      <c r="Q229" s="21" t="s">
        <v>11</v>
      </c>
      <c r="R229" s="143"/>
      <c r="S229" s="146"/>
      <c r="T229" s="25"/>
      <c r="U229" s="59"/>
      <c r="V229" s="56"/>
      <c r="W229" s="24">
        <f>26424.2-2614.5</f>
        <v>23809.7</v>
      </c>
      <c r="X229" s="59"/>
      <c r="Y229" s="59"/>
      <c r="Z229" s="25">
        <f>T229+U229+V229+W229+X229+Y229</f>
        <v>23809.7</v>
      </c>
      <c r="AA229" s="23">
        <v>2024</v>
      </c>
      <c r="AB229" s="75"/>
    </row>
    <row r="230" spans="1:31" s="16" customFormat="1" ht="30" customHeight="1" x14ac:dyDescent="0.25">
      <c r="A230" s="13"/>
      <c r="B230" s="13"/>
      <c r="C230" s="13"/>
      <c r="D230" s="13"/>
      <c r="E230" s="13"/>
      <c r="F230" s="13"/>
      <c r="G230" s="13"/>
      <c r="H230" s="13"/>
      <c r="I230" s="14"/>
      <c r="J230" s="13"/>
      <c r="K230" s="13"/>
      <c r="L230" s="13"/>
      <c r="M230" s="13"/>
      <c r="N230" s="13"/>
      <c r="O230" s="13"/>
      <c r="P230" s="13"/>
      <c r="Q230" s="13"/>
      <c r="R230" s="138" t="s">
        <v>199</v>
      </c>
      <c r="S230" s="6" t="s">
        <v>39</v>
      </c>
      <c r="T230" s="60"/>
      <c r="U230" s="107"/>
      <c r="V230" s="109"/>
      <c r="W230" s="60">
        <v>5.4</v>
      </c>
      <c r="X230" s="109"/>
      <c r="Y230" s="109"/>
      <c r="Z230" s="61">
        <f>W230</f>
        <v>5.4</v>
      </c>
      <c r="AA230" s="6">
        <v>2024</v>
      </c>
      <c r="AB230" s="75"/>
      <c r="AC230" s="63"/>
      <c r="AD230" s="64"/>
      <c r="AE230" s="65"/>
    </row>
    <row r="231" spans="1:31" x14ac:dyDescent="0.25">
      <c r="A231" s="21" t="s">
        <v>10</v>
      </c>
      <c r="B231" s="21" t="s">
        <v>11</v>
      </c>
      <c r="C231" s="21" t="s">
        <v>12</v>
      </c>
      <c r="D231" s="21" t="s">
        <v>10</v>
      </c>
      <c r="E231" s="21" t="s">
        <v>20</v>
      </c>
      <c r="F231" s="21" t="s">
        <v>10</v>
      </c>
      <c r="G231" s="21" t="s">
        <v>19</v>
      </c>
      <c r="H231" s="21" t="s">
        <v>10</v>
      </c>
      <c r="I231" s="21" t="s">
        <v>18</v>
      </c>
      <c r="J231" s="21" t="s">
        <v>11</v>
      </c>
      <c r="K231" s="21" t="s">
        <v>10</v>
      </c>
      <c r="L231" s="21" t="s">
        <v>12</v>
      </c>
      <c r="M231" s="21" t="s">
        <v>10</v>
      </c>
      <c r="N231" s="21" t="s">
        <v>10</v>
      </c>
      <c r="O231" s="21" t="s">
        <v>10</v>
      </c>
      <c r="P231" s="21" t="s">
        <v>10</v>
      </c>
      <c r="Q231" s="21" t="s">
        <v>10</v>
      </c>
      <c r="R231" s="141" t="s">
        <v>212</v>
      </c>
      <c r="S231" s="144" t="s">
        <v>33</v>
      </c>
      <c r="T231" s="114"/>
      <c r="U231" s="114"/>
      <c r="V231" s="59"/>
      <c r="W231" s="25">
        <f>W232+W233</f>
        <v>109575.3</v>
      </c>
      <c r="X231" s="59"/>
      <c r="Y231" s="59"/>
      <c r="Z231" s="25">
        <f>Z232+Z233</f>
        <v>109575.3</v>
      </c>
      <c r="AA231" s="23">
        <v>2024</v>
      </c>
      <c r="AB231" s="129" t="s">
        <v>200</v>
      </c>
    </row>
    <row r="232" spans="1:31" x14ac:dyDescent="0.25">
      <c r="A232" s="21" t="s">
        <v>10</v>
      </c>
      <c r="B232" s="21" t="s">
        <v>11</v>
      </c>
      <c r="C232" s="21" t="s">
        <v>12</v>
      </c>
      <c r="D232" s="21" t="s">
        <v>10</v>
      </c>
      <c r="E232" s="21" t="s">
        <v>20</v>
      </c>
      <c r="F232" s="21" t="s">
        <v>10</v>
      </c>
      <c r="G232" s="21" t="s">
        <v>19</v>
      </c>
      <c r="H232" s="21" t="s">
        <v>10</v>
      </c>
      <c r="I232" s="21" t="s">
        <v>18</v>
      </c>
      <c r="J232" s="21" t="s">
        <v>11</v>
      </c>
      <c r="K232" s="21" t="s">
        <v>10</v>
      </c>
      <c r="L232" s="21" t="s">
        <v>12</v>
      </c>
      <c r="M232" s="21" t="s">
        <v>40</v>
      </c>
      <c r="N232" s="21" t="s">
        <v>10</v>
      </c>
      <c r="O232" s="21" t="s">
        <v>11</v>
      </c>
      <c r="P232" s="21" t="s">
        <v>17</v>
      </c>
      <c r="Q232" s="21" t="s">
        <v>11</v>
      </c>
      <c r="R232" s="142"/>
      <c r="S232" s="145"/>
      <c r="T232" s="25"/>
      <c r="U232" s="59"/>
      <c r="V232" s="56"/>
      <c r="W232" s="24">
        <f>9923.1+1034.4</f>
        <v>10957.5</v>
      </c>
      <c r="X232" s="59"/>
      <c r="Y232" s="59"/>
      <c r="Z232" s="25">
        <f>T232+U232+V232+W232+X232+Y232</f>
        <v>10957.5</v>
      </c>
      <c r="AA232" s="23">
        <v>2024</v>
      </c>
      <c r="AB232" s="75"/>
    </row>
    <row r="233" spans="1:31" x14ac:dyDescent="0.25">
      <c r="A233" s="21" t="s">
        <v>10</v>
      </c>
      <c r="B233" s="21" t="s">
        <v>11</v>
      </c>
      <c r="C233" s="21" t="s">
        <v>12</v>
      </c>
      <c r="D233" s="21" t="s">
        <v>10</v>
      </c>
      <c r="E233" s="21" t="s">
        <v>20</v>
      </c>
      <c r="F233" s="21" t="s">
        <v>10</v>
      </c>
      <c r="G233" s="21" t="s">
        <v>19</v>
      </c>
      <c r="H233" s="21" t="s">
        <v>10</v>
      </c>
      <c r="I233" s="21" t="s">
        <v>18</v>
      </c>
      <c r="J233" s="21" t="s">
        <v>11</v>
      </c>
      <c r="K233" s="21" t="s">
        <v>10</v>
      </c>
      <c r="L233" s="21" t="s">
        <v>12</v>
      </c>
      <c r="M233" s="21" t="s">
        <v>11</v>
      </c>
      <c r="N233" s="21" t="s">
        <v>10</v>
      </c>
      <c r="O233" s="21" t="s">
        <v>11</v>
      </c>
      <c r="P233" s="21" t="s">
        <v>17</v>
      </c>
      <c r="Q233" s="21" t="s">
        <v>11</v>
      </c>
      <c r="R233" s="143"/>
      <c r="S233" s="146"/>
      <c r="T233" s="25"/>
      <c r="U233" s="59"/>
      <c r="V233" s="56"/>
      <c r="W233" s="24">
        <f>89307.7+9310.1</f>
        <v>98617.8</v>
      </c>
      <c r="X233" s="59"/>
      <c r="Y233" s="59"/>
      <c r="Z233" s="25">
        <f>T233+U233+V233+W233+X233+Y233</f>
        <v>98617.8</v>
      </c>
      <c r="AA233" s="23">
        <v>2024</v>
      </c>
      <c r="AB233" s="75"/>
    </row>
    <row r="234" spans="1:31" s="16" customFormat="1" ht="30" x14ac:dyDescent="0.25">
      <c r="A234" s="13"/>
      <c r="B234" s="13"/>
      <c r="C234" s="13"/>
      <c r="D234" s="13"/>
      <c r="E234" s="13"/>
      <c r="F234" s="13"/>
      <c r="G234" s="13"/>
      <c r="H234" s="13"/>
      <c r="I234" s="14"/>
      <c r="J234" s="13"/>
      <c r="K234" s="13"/>
      <c r="L234" s="13"/>
      <c r="M234" s="13"/>
      <c r="N234" s="13"/>
      <c r="O234" s="13"/>
      <c r="P234" s="13"/>
      <c r="Q234" s="13"/>
      <c r="R234" s="12" t="s">
        <v>199</v>
      </c>
      <c r="S234" s="6" t="s">
        <v>39</v>
      </c>
      <c r="T234" s="60"/>
      <c r="U234" s="107"/>
      <c r="V234" s="109"/>
      <c r="W234" s="60">
        <v>14.438000000000001</v>
      </c>
      <c r="X234" s="109"/>
      <c r="Y234" s="109"/>
      <c r="Z234" s="61">
        <f>W234</f>
        <v>14.438000000000001</v>
      </c>
      <c r="AA234" s="6">
        <v>2024</v>
      </c>
      <c r="AB234" s="75"/>
      <c r="AC234" s="63"/>
      <c r="AD234" s="64"/>
      <c r="AE234" s="65"/>
    </row>
    <row r="235" spans="1:31" x14ac:dyDescent="0.25">
      <c r="A235" s="21" t="s">
        <v>10</v>
      </c>
      <c r="B235" s="21" t="s">
        <v>11</v>
      </c>
      <c r="C235" s="21" t="s">
        <v>12</v>
      </c>
      <c r="D235" s="21" t="s">
        <v>10</v>
      </c>
      <c r="E235" s="21" t="s">
        <v>20</v>
      </c>
      <c r="F235" s="21" t="s">
        <v>10</v>
      </c>
      <c r="G235" s="21" t="s">
        <v>19</v>
      </c>
      <c r="H235" s="21" t="s">
        <v>10</v>
      </c>
      <c r="I235" s="21" t="s">
        <v>18</v>
      </c>
      <c r="J235" s="21" t="s">
        <v>11</v>
      </c>
      <c r="K235" s="21" t="s">
        <v>10</v>
      </c>
      <c r="L235" s="21" t="s">
        <v>12</v>
      </c>
      <c r="M235" s="21" t="s">
        <v>10</v>
      </c>
      <c r="N235" s="21" t="s">
        <v>10</v>
      </c>
      <c r="O235" s="21" t="s">
        <v>10</v>
      </c>
      <c r="P235" s="21" t="s">
        <v>10</v>
      </c>
      <c r="Q235" s="21" t="s">
        <v>10</v>
      </c>
      <c r="R235" s="141" t="s">
        <v>222</v>
      </c>
      <c r="S235" s="144" t="s">
        <v>33</v>
      </c>
      <c r="T235" s="114"/>
      <c r="U235" s="114"/>
      <c r="V235" s="59"/>
      <c r="W235" s="25">
        <f>W236+W237</f>
        <v>24528.600000000002</v>
      </c>
      <c r="X235" s="59"/>
      <c r="Y235" s="59"/>
      <c r="Z235" s="25">
        <f>Z236+Z237</f>
        <v>24528.600000000002</v>
      </c>
      <c r="AA235" s="23">
        <v>2024</v>
      </c>
      <c r="AB235" s="129" t="s">
        <v>200</v>
      </c>
    </row>
    <row r="236" spans="1:31" x14ac:dyDescent="0.25">
      <c r="A236" s="21" t="s">
        <v>10</v>
      </c>
      <c r="B236" s="21" t="s">
        <v>11</v>
      </c>
      <c r="C236" s="21" t="s">
        <v>12</v>
      </c>
      <c r="D236" s="21" t="s">
        <v>10</v>
      </c>
      <c r="E236" s="21" t="s">
        <v>20</v>
      </c>
      <c r="F236" s="21" t="s">
        <v>10</v>
      </c>
      <c r="G236" s="21" t="s">
        <v>19</v>
      </c>
      <c r="H236" s="21" t="s">
        <v>10</v>
      </c>
      <c r="I236" s="21" t="s">
        <v>18</v>
      </c>
      <c r="J236" s="21" t="s">
        <v>11</v>
      </c>
      <c r="K236" s="21" t="s">
        <v>10</v>
      </c>
      <c r="L236" s="21" t="s">
        <v>12</v>
      </c>
      <c r="M236" s="21" t="s">
        <v>40</v>
      </c>
      <c r="N236" s="21" t="s">
        <v>10</v>
      </c>
      <c r="O236" s="21" t="s">
        <v>11</v>
      </c>
      <c r="P236" s="21" t="s">
        <v>17</v>
      </c>
      <c r="Q236" s="21" t="s">
        <v>11</v>
      </c>
      <c r="R236" s="142"/>
      <c r="S236" s="145"/>
      <c r="T236" s="25"/>
      <c r="U236" s="59"/>
      <c r="V236" s="56"/>
      <c r="W236" s="24">
        <f>3357-904.3</f>
        <v>2452.6999999999998</v>
      </c>
      <c r="X236" s="59"/>
      <c r="Y236" s="59"/>
      <c r="Z236" s="25">
        <f>T236+U236+V236+W236+X236+Y236</f>
        <v>2452.6999999999998</v>
      </c>
      <c r="AA236" s="23">
        <v>2024</v>
      </c>
      <c r="AB236" s="75"/>
    </row>
    <row r="237" spans="1:31" x14ac:dyDescent="0.25">
      <c r="A237" s="21" t="s">
        <v>10</v>
      </c>
      <c r="B237" s="21" t="s">
        <v>11</v>
      </c>
      <c r="C237" s="21" t="s">
        <v>12</v>
      </c>
      <c r="D237" s="21" t="s">
        <v>10</v>
      </c>
      <c r="E237" s="21" t="s">
        <v>20</v>
      </c>
      <c r="F237" s="21" t="s">
        <v>10</v>
      </c>
      <c r="G237" s="21" t="s">
        <v>19</v>
      </c>
      <c r="H237" s="21" t="s">
        <v>10</v>
      </c>
      <c r="I237" s="21" t="s">
        <v>18</v>
      </c>
      <c r="J237" s="21" t="s">
        <v>11</v>
      </c>
      <c r="K237" s="21" t="s">
        <v>10</v>
      </c>
      <c r="L237" s="21" t="s">
        <v>12</v>
      </c>
      <c r="M237" s="21" t="s">
        <v>11</v>
      </c>
      <c r="N237" s="21" t="s">
        <v>10</v>
      </c>
      <c r="O237" s="21" t="s">
        <v>11</v>
      </c>
      <c r="P237" s="21" t="s">
        <v>17</v>
      </c>
      <c r="Q237" s="21" t="s">
        <v>11</v>
      </c>
      <c r="R237" s="143"/>
      <c r="S237" s="146"/>
      <c r="T237" s="25"/>
      <c r="U237" s="59"/>
      <c r="V237" s="56"/>
      <c r="W237" s="24">
        <f>30213-8137.1</f>
        <v>22075.9</v>
      </c>
      <c r="X237" s="59"/>
      <c r="Y237" s="59"/>
      <c r="Z237" s="25">
        <f>T237+U237+V237+W237+X237+Y237</f>
        <v>22075.9</v>
      </c>
      <c r="AA237" s="23">
        <v>2024</v>
      </c>
      <c r="AB237" s="75"/>
    </row>
    <row r="238" spans="1:31" s="1" customFormat="1" ht="30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7" t="s">
        <v>108</v>
      </c>
      <c r="S238" s="58" t="s">
        <v>1</v>
      </c>
      <c r="T238" s="5"/>
      <c r="U238" s="5"/>
      <c r="V238" s="107"/>
      <c r="W238" s="5">
        <f>W234*100/Z234</f>
        <v>99.999999999999986</v>
      </c>
      <c r="X238" s="107"/>
      <c r="Y238" s="107"/>
      <c r="Z238" s="3">
        <f>V238+W238</f>
        <v>99.999999999999986</v>
      </c>
      <c r="AA238" s="6">
        <v>2024</v>
      </c>
      <c r="AB238" s="78"/>
      <c r="AC238" s="17"/>
      <c r="AD238" s="17"/>
    </row>
    <row r="239" spans="1:31" x14ac:dyDescent="0.25">
      <c r="A239" s="21" t="s">
        <v>10</v>
      </c>
      <c r="B239" s="21" t="s">
        <v>11</v>
      </c>
      <c r="C239" s="21" t="s">
        <v>12</v>
      </c>
      <c r="D239" s="21" t="s">
        <v>10</v>
      </c>
      <c r="E239" s="21" t="s">
        <v>20</v>
      </c>
      <c r="F239" s="21" t="s">
        <v>10</v>
      </c>
      <c r="G239" s="21" t="s">
        <v>19</v>
      </c>
      <c r="H239" s="21" t="s">
        <v>10</v>
      </c>
      <c r="I239" s="21" t="s">
        <v>18</v>
      </c>
      <c r="J239" s="21" t="s">
        <v>11</v>
      </c>
      <c r="K239" s="21" t="s">
        <v>10</v>
      </c>
      <c r="L239" s="21" t="s">
        <v>12</v>
      </c>
      <c r="M239" s="21" t="s">
        <v>10</v>
      </c>
      <c r="N239" s="21" t="s">
        <v>10</v>
      </c>
      <c r="O239" s="21" t="s">
        <v>10</v>
      </c>
      <c r="P239" s="21" t="s">
        <v>10</v>
      </c>
      <c r="Q239" s="21" t="s">
        <v>10</v>
      </c>
      <c r="R239" s="141" t="s">
        <v>201</v>
      </c>
      <c r="S239" s="144" t="s">
        <v>33</v>
      </c>
      <c r="T239" s="114"/>
      <c r="U239" s="114"/>
      <c r="V239" s="59"/>
      <c r="W239" s="59"/>
      <c r="X239" s="25">
        <f>X240+X241</f>
        <v>29272.899999999998</v>
      </c>
      <c r="Y239" s="59"/>
      <c r="Z239" s="25">
        <f>Z240+Z241</f>
        <v>29272.899999999998</v>
      </c>
      <c r="AA239" s="23">
        <v>2025</v>
      </c>
      <c r="AB239" s="72" t="s">
        <v>200</v>
      </c>
    </row>
    <row r="240" spans="1:31" x14ac:dyDescent="0.25">
      <c r="A240" s="21" t="s">
        <v>10</v>
      </c>
      <c r="B240" s="21" t="s">
        <v>11</v>
      </c>
      <c r="C240" s="21" t="s">
        <v>12</v>
      </c>
      <c r="D240" s="21" t="s">
        <v>10</v>
      </c>
      <c r="E240" s="21" t="s">
        <v>20</v>
      </c>
      <c r="F240" s="21" t="s">
        <v>10</v>
      </c>
      <c r="G240" s="21" t="s">
        <v>19</v>
      </c>
      <c r="H240" s="21" t="s">
        <v>10</v>
      </c>
      <c r="I240" s="21" t="s">
        <v>18</v>
      </c>
      <c r="J240" s="21" t="s">
        <v>11</v>
      </c>
      <c r="K240" s="21" t="s">
        <v>10</v>
      </c>
      <c r="L240" s="21" t="s">
        <v>12</v>
      </c>
      <c r="M240" s="21" t="s">
        <v>40</v>
      </c>
      <c r="N240" s="21" t="s">
        <v>10</v>
      </c>
      <c r="O240" s="21" t="s">
        <v>11</v>
      </c>
      <c r="P240" s="21" t="s">
        <v>17</v>
      </c>
      <c r="Q240" s="21" t="s">
        <v>11</v>
      </c>
      <c r="R240" s="142"/>
      <c r="S240" s="145"/>
      <c r="T240" s="25"/>
      <c r="U240" s="59"/>
      <c r="V240" s="56"/>
      <c r="W240" s="56"/>
      <c r="X240" s="24">
        <v>2927.3</v>
      </c>
      <c r="Y240" s="59"/>
      <c r="Z240" s="25">
        <f>T240+U240+V240+W240+X240+Y240</f>
        <v>2927.3</v>
      </c>
      <c r="AA240" s="23">
        <v>2025</v>
      </c>
      <c r="AB240" s="75"/>
    </row>
    <row r="241" spans="1:31" x14ac:dyDescent="0.25">
      <c r="A241" s="21" t="s">
        <v>10</v>
      </c>
      <c r="B241" s="21" t="s">
        <v>11</v>
      </c>
      <c r="C241" s="21" t="s">
        <v>12</v>
      </c>
      <c r="D241" s="21" t="s">
        <v>10</v>
      </c>
      <c r="E241" s="21" t="s">
        <v>20</v>
      </c>
      <c r="F241" s="21" t="s">
        <v>10</v>
      </c>
      <c r="G241" s="21" t="s">
        <v>19</v>
      </c>
      <c r="H241" s="21" t="s">
        <v>10</v>
      </c>
      <c r="I241" s="21" t="s">
        <v>18</v>
      </c>
      <c r="J241" s="21" t="s">
        <v>11</v>
      </c>
      <c r="K241" s="21" t="s">
        <v>10</v>
      </c>
      <c r="L241" s="21" t="s">
        <v>12</v>
      </c>
      <c r="M241" s="21" t="s">
        <v>11</v>
      </c>
      <c r="N241" s="21" t="s">
        <v>10</v>
      </c>
      <c r="O241" s="21" t="s">
        <v>11</v>
      </c>
      <c r="P241" s="21" t="s">
        <v>17</v>
      </c>
      <c r="Q241" s="21" t="s">
        <v>11</v>
      </c>
      <c r="R241" s="143"/>
      <c r="S241" s="146"/>
      <c r="T241" s="25"/>
      <c r="U241" s="59"/>
      <c r="V241" s="56"/>
      <c r="W241" s="56"/>
      <c r="X241" s="24">
        <v>26345.599999999999</v>
      </c>
      <c r="Y241" s="59"/>
      <c r="Z241" s="25">
        <f>T241+U241+V241+W241+X241+Y241</f>
        <v>26345.599999999999</v>
      </c>
      <c r="AA241" s="23">
        <v>2025</v>
      </c>
      <c r="AB241" s="75"/>
    </row>
    <row r="242" spans="1:31" s="16" customFormat="1" ht="30" x14ac:dyDescent="0.25">
      <c r="A242" s="13"/>
      <c r="B242" s="13"/>
      <c r="C242" s="13"/>
      <c r="D242" s="13"/>
      <c r="E242" s="13"/>
      <c r="F242" s="13"/>
      <c r="G242" s="13"/>
      <c r="H242" s="13"/>
      <c r="I242" s="14"/>
      <c r="J242" s="13"/>
      <c r="K242" s="13"/>
      <c r="L242" s="13"/>
      <c r="M242" s="13"/>
      <c r="N242" s="13"/>
      <c r="O242" s="13"/>
      <c r="P242" s="13"/>
      <c r="Q242" s="13"/>
      <c r="R242" s="12" t="s">
        <v>199</v>
      </c>
      <c r="S242" s="6" t="s">
        <v>39</v>
      </c>
      <c r="T242" s="60"/>
      <c r="U242" s="107"/>
      <c r="V242" s="109"/>
      <c r="W242" s="109"/>
      <c r="X242" s="60">
        <v>1.4</v>
      </c>
      <c r="Y242" s="109"/>
      <c r="Z242" s="61">
        <f>X242</f>
        <v>1.4</v>
      </c>
      <c r="AA242" s="6">
        <v>2025</v>
      </c>
      <c r="AB242" s="75"/>
      <c r="AC242" s="63"/>
      <c r="AD242" s="64"/>
      <c r="AE242" s="65"/>
    </row>
    <row r="243" spans="1:31" x14ac:dyDescent="0.25">
      <c r="A243" s="21" t="s">
        <v>10</v>
      </c>
      <c r="B243" s="21" t="s">
        <v>11</v>
      </c>
      <c r="C243" s="21" t="s">
        <v>12</v>
      </c>
      <c r="D243" s="21" t="s">
        <v>10</v>
      </c>
      <c r="E243" s="21" t="s">
        <v>20</v>
      </c>
      <c r="F243" s="21" t="s">
        <v>10</v>
      </c>
      <c r="G243" s="21" t="s">
        <v>19</v>
      </c>
      <c r="H243" s="21" t="s">
        <v>10</v>
      </c>
      <c r="I243" s="21" t="s">
        <v>18</v>
      </c>
      <c r="J243" s="21" t="s">
        <v>11</v>
      </c>
      <c r="K243" s="21" t="s">
        <v>10</v>
      </c>
      <c r="L243" s="21" t="s">
        <v>12</v>
      </c>
      <c r="M243" s="21" t="s">
        <v>10</v>
      </c>
      <c r="N243" s="21" t="s">
        <v>10</v>
      </c>
      <c r="O243" s="21" t="s">
        <v>10</v>
      </c>
      <c r="P243" s="21" t="s">
        <v>10</v>
      </c>
      <c r="Q243" s="21" t="s">
        <v>10</v>
      </c>
      <c r="R243" s="141" t="s">
        <v>202</v>
      </c>
      <c r="S243" s="144" t="s">
        <v>33</v>
      </c>
      <c r="T243" s="114"/>
      <c r="U243" s="114"/>
      <c r="V243" s="59"/>
      <c r="W243" s="59"/>
      <c r="X243" s="25">
        <f>X244+X245</f>
        <v>66504.099999999991</v>
      </c>
      <c r="Y243" s="59"/>
      <c r="Z243" s="25">
        <f>Z244+Z245</f>
        <v>66504.099999999991</v>
      </c>
      <c r="AA243" s="23">
        <v>2025</v>
      </c>
      <c r="AB243" s="72" t="s">
        <v>200</v>
      </c>
    </row>
    <row r="244" spans="1:31" x14ac:dyDescent="0.25">
      <c r="A244" s="21" t="s">
        <v>10</v>
      </c>
      <c r="B244" s="21" t="s">
        <v>11</v>
      </c>
      <c r="C244" s="21" t="s">
        <v>12</v>
      </c>
      <c r="D244" s="21" t="s">
        <v>10</v>
      </c>
      <c r="E244" s="21" t="s">
        <v>20</v>
      </c>
      <c r="F244" s="21" t="s">
        <v>10</v>
      </c>
      <c r="G244" s="21" t="s">
        <v>19</v>
      </c>
      <c r="H244" s="21" t="s">
        <v>10</v>
      </c>
      <c r="I244" s="21" t="s">
        <v>18</v>
      </c>
      <c r="J244" s="21" t="s">
        <v>11</v>
      </c>
      <c r="K244" s="21" t="s">
        <v>10</v>
      </c>
      <c r="L244" s="21" t="s">
        <v>12</v>
      </c>
      <c r="M244" s="21" t="s">
        <v>40</v>
      </c>
      <c r="N244" s="21" t="s">
        <v>10</v>
      </c>
      <c r="O244" s="21" t="s">
        <v>11</v>
      </c>
      <c r="P244" s="21" t="s">
        <v>17</v>
      </c>
      <c r="Q244" s="21" t="s">
        <v>11</v>
      </c>
      <c r="R244" s="142"/>
      <c r="S244" s="145"/>
      <c r="T244" s="25"/>
      <c r="U244" s="59"/>
      <c r="V244" s="56"/>
      <c r="W244" s="56"/>
      <c r="X244" s="24">
        <v>6650.4</v>
      </c>
      <c r="Y244" s="59"/>
      <c r="Z244" s="25">
        <f>T244+U244+V244+W244+X244+Y244</f>
        <v>6650.4</v>
      </c>
      <c r="AA244" s="23">
        <v>2025</v>
      </c>
      <c r="AB244" s="75"/>
    </row>
    <row r="245" spans="1:31" x14ac:dyDescent="0.25">
      <c r="A245" s="21" t="s">
        <v>10</v>
      </c>
      <c r="B245" s="21" t="s">
        <v>11</v>
      </c>
      <c r="C245" s="21" t="s">
        <v>12</v>
      </c>
      <c r="D245" s="21" t="s">
        <v>10</v>
      </c>
      <c r="E245" s="21" t="s">
        <v>20</v>
      </c>
      <c r="F245" s="21" t="s">
        <v>10</v>
      </c>
      <c r="G245" s="21" t="s">
        <v>19</v>
      </c>
      <c r="H245" s="21" t="s">
        <v>10</v>
      </c>
      <c r="I245" s="21" t="s">
        <v>18</v>
      </c>
      <c r="J245" s="21" t="s">
        <v>11</v>
      </c>
      <c r="K245" s="21" t="s">
        <v>10</v>
      </c>
      <c r="L245" s="21" t="s">
        <v>12</v>
      </c>
      <c r="M245" s="21" t="s">
        <v>11</v>
      </c>
      <c r="N245" s="21" t="s">
        <v>10</v>
      </c>
      <c r="O245" s="21" t="s">
        <v>11</v>
      </c>
      <c r="P245" s="21" t="s">
        <v>17</v>
      </c>
      <c r="Q245" s="21" t="s">
        <v>11</v>
      </c>
      <c r="R245" s="143"/>
      <c r="S245" s="146"/>
      <c r="T245" s="25"/>
      <c r="U245" s="59"/>
      <c r="V245" s="56"/>
      <c r="W245" s="56"/>
      <c r="X245" s="24">
        <v>59853.7</v>
      </c>
      <c r="Y245" s="59"/>
      <c r="Z245" s="25">
        <f>T245+U245+V245+W245+X245+Y245</f>
        <v>59853.7</v>
      </c>
      <c r="AA245" s="23">
        <v>2025</v>
      </c>
      <c r="AB245" s="75"/>
    </row>
    <row r="246" spans="1:31" s="16" customFormat="1" ht="30" x14ac:dyDescent="0.25">
      <c r="A246" s="13"/>
      <c r="B246" s="13"/>
      <c r="C246" s="13"/>
      <c r="D246" s="13"/>
      <c r="E246" s="13"/>
      <c r="F246" s="13"/>
      <c r="G246" s="13"/>
      <c r="H246" s="13"/>
      <c r="I246" s="14"/>
      <c r="J246" s="13"/>
      <c r="K246" s="13"/>
      <c r="L246" s="13"/>
      <c r="M246" s="13"/>
      <c r="N246" s="13"/>
      <c r="O246" s="13"/>
      <c r="P246" s="13"/>
      <c r="Q246" s="13"/>
      <c r="R246" s="12" t="s">
        <v>199</v>
      </c>
      <c r="S246" s="6" t="s">
        <v>39</v>
      </c>
      <c r="T246" s="60"/>
      <c r="U246" s="107"/>
      <c r="V246" s="109"/>
      <c r="W246" s="109"/>
      <c r="X246" s="60">
        <v>9.73</v>
      </c>
      <c r="Y246" s="109"/>
      <c r="Z246" s="61">
        <f>X246</f>
        <v>9.73</v>
      </c>
      <c r="AA246" s="6">
        <v>2025</v>
      </c>
      <c r="AB246" s="75"/>
      <c r="AC246" s="63"/>
      <c r="AD246" s="64"/>
      <c r="AE246" s="65"/>
    </row>
    <row r="247" spans="1:31" x14ac:dyDescent="0.25">
      <c r="A247" s="21" t="s">
        <v>10</v>
      </c>
      <c r="B247" s="21" t="s">
        <v>11</v>
      </c>
      <c r="C247" s="21" t="s">
        <v>12</v>
      </c>
      <c r="D247" s="21" t="s">
        <v>10</v>
      </c>
      <c r="E247" s="21" t="s">
        <v>20</v>
      </c>
      <c r="F247" s="21" t="s">
        <v>10</v>
      </c>
      <c r="G247" s="21" t="s">
        <v>19</v>
      </c>
      <c r="H247" s="21" t="s">
        <v>10</v>
      </c>
      <c r="I247" s="21" t="s">
        <v>18</v>
      </c>
      <c r="J247" s="21" t="s">
        <v>11</v>
      </c>
      <c r="K247" s="21" t="s">
        <v>10</v>
      </c>
      <c r="L247" s="21" t="s">
        <v>12</v>
      </c>
      <c r="M247" s="21" t="s">
        <v>10</v>
      </c>
      <c r="N247" s="21" t="s">
        <v>10</v>
      </c>
      <c r="O247" s="21" t="s">
        <v>10</v>
      </c>
      <c r="P247" s="21" t="s">
        <v>10</v>
      </c>
      <c r="Q247" s="21" t="s">
        <v>10</v>
      </c>
      <c r="R247" s="141" t="s">
        <v>203</v>
      </c>
      <c r="S247" s="144" t="s">
        <v>33</v>
      </c>
      <c r="T247" s="114"/>
      <c r="U247" s="114"/>
      <c r="V247" s="59"/>
      <c r="W247" s="59"/>
      <c r="X247" s="25">
        <f>X248+X249</f>
        <v>10935.8</v>
      </c>
      <c r="Y247" s="59"/>
      <c r="Z247" s="25">
        <f>Z248+Z249</f>
        <v>10935.8</v>
      </c>
      <c r="AA247" s="23">
        <v>2025</v>
      </c>
      <c r="AB247" s="72" t="s">
        <v>200</v>
      </c>
    </row>
    <row r="248" spans="1:31" x14ac:dyDescent="0.25">
      <c r="A248" s="21" t="s">
        <v>10</v>
      </c>
      <c r="B248" s="21" t="s">
        <v>11</v>
      </c>
      <c r="C248" s="21" t="s">
        <v>12</v>
      </c>
      <c r="D248" s="21" t="s">
        <v>10</v>
      </c>
      <c r="E248" s="21" t="s">
        <v>20</v>
      </c>
      <c r="F248" s="21" t="s">
        <v>10</v>
      </c>
      <c r="G248" s="21" t="s">
        <v>19</v>
      </c>
      <c r="H248" s="21" t="s">
        <v>10</v>
      </c>
      <c r="I248" s="21" t="s">
        <v>18</v>
      </c>
      <c r="J248" s="21" t="s">
        <v>11</v>
      </c>
      <c r="K248" s="21" t="s">
        <v>10</v>
      </c>
      <c r="L248" s="21" t="s">
        <v>12</v>
      </c>
      <c r="M248" s="21" t="s">
        <v>40</v>
      </c>
      <c r="N248" s="21" t="s">
        <v>10</v>
      </c>
      <c r="O248" s="21" t="s">
        <v>11</v>
      </c>
      <c r="P248" s="21" t="s">
        <v>17</v>
      </c>
      <c r="Q248" s="21" t="s">
        <v>11</v>
      </c>
      <c r="R248" s="142"/>
      <c r="S248" s="145"/>
      <c r="T248" s="25"/>
      <c r="U248" s="59"/>
      <c r="V248" s="56"/>
      <c r="W248" s="56"/>
      <c r="X248" s="24">
        <v>1093.5</v>
      </c>
      <c r="Y248" s="59"/>
      <c r="Z248" s="25">
        <f>T248+U248+V248+W248+X248+Y248</f>
        <v>1093.5</v>
      </c>
      <c r="AA248" s="23">
        <v>2025</v>
      </c>
      <c r="AB248" s="75"/>
    </row>
    <row r="249" spans="1:31" x14ac:dyDescent="0.25">
      <c r="A249" s="21" t="s">
        <v>10</v>
      </c>
      <c r="B249" s="21" t="s">
        <v>11</v>
      </c>
      <c r="C249" s="21" t="s">
        <v>12</v>
      </c>
      <c r="D249" s="21" t="s">
        <v>10</v>
      </c>
      <c r="E249" s="21" t="s">
        <v>20</v>
      </c>
      <c r="F249" s="21" t="s">
        <v>10</v>
      </c>
      <c r="G249" s="21" t="s">
        <v>19</v>
      </c>
      <c r="H249" s="21" t="s">
        <v>10</v>
      </c>
      <c r="I249" s="21" t="s">
        <v>18</v>
      </c>
      <c r="J249" s="21" t="s">
        <v>11</v>
      </c>
      <c r="K249" s="21" t="s">
        <v>10</v>
      </c>
      <c r="L249" s="21" t="s">
        <v>12</v>
      </c>
      <c r="M249" s="21" t="s">
        <v>11</v>
      </c>
      <c r="N249" s="21" t="s">
        <v>10</v>
      </c>
      <c r="O249" s="21" t="s">
        <v>11</v>
      </c>
      <c r="P249" s="21" t="s">
        <v>17</v>
      </c>
      <c r="Q249" s="21" t="s">
        <v>11</v>
      </c>
      <c r="R249" s="143"/>
      <c r="S249" s="146"/>
      <c r="T249" s="25"/>
      <c r="U249" s="59"/>
      <c r="V249" s="56"/>
      <c r="W249" s="56"/>
      <c r="X249" s="24">
        <v>9842.2999999999993</v>
      </c>
      <c r="Y249" s="59"/>
      <c r="Z249" s="25">
        <f>T249+U249+V249+W249+X249+Y249</f>
        <v>9842.2999999999993</v>
      </c>
      <c r="AA249" s="23">
        <v>2025</v>
      </c>
      <c r="AB249" s="75"/>
    </row>
    <row r="250" spans="1:31" s="16" customFormat="1" ht="30" x14ac:dyDescent="0.25">
      <c r="A250" s="13"/>
      <c r="B250" s="13"/>
      <c r="C250" s="13"/>
      <c r="D250" s="13"/>
      <c r="E250" s="13"/>
      <c r="F250" s="13"/>
      <c r="G250" s="13"/>
      <c r="H250" s="13"/>
      <c r="I250" s="14"/>
      <c r="J250" s="13"/>
      <c r="K250" s="13"/>
      <c r="L250" s="13"/>
      <c r="M250" s="13"/>
      <c r="N250" s="13"/>
      <c r="O250" s="13"/>
      <c r="P250" s="13"/>
      <c r="Q250" s="13"/>
      <c r="R250" s="12" t="s">
        <v>199</v>
      </c>
      <c r="S250" s="6" t="s">
        <v>39</v>
      </c>
      <c r="T250" s="60"/>
      <c r="U250" s="107"/>
      <c r="V250" s="109"/>
      <c r="W250" s="109"/>
      <c r="X250" s="60">
        <v>1.6</v>
      </c>
      <c r="Y250" s="109"/>
      <c r="Z250" s="61">
        <f>X250</f>
        <v>1.6</v>
      </c>
      <c r="AA250" s="6">
        <v>2025</v>
      </c>
      <c r="AB250" s="75"/>
      <c r="AC250" s="63"/>
      <c r="AD250" s="64"/>
      <c r="AE250" s="65"/>
    </row>
    <row r="251" spans="1:31" x14ac:dyDescent="0.25">
      <c r="A251" s="21" t="s">
        <v>10</v>
      </c>
      <c r="B251" s="21" t="s">
        <v>11</v>
      </c>
      <c r="C251" s="21" t="s">
        <v>12</v>
      </c>
      <c r="D251" s="21" t="s">
        <v>10</v>
      </c>
      <c r="E251" s="21" t="s">
        <v>20</v>
      </c>
      <c r="F251" s="21" t="s">
        <v>10</v>
      </c>
      <c r="G251" s="21" t="s">
        <v>19</v>
      </c>
      <c r="H251" s="21" t="s">
        <v>10</v>
      </c>
      <c r="I251" s="21" t="s">
        <v>18</v>
      </c>
      <c r="J251" s="21" t="s">
        <v>11</v>
      </c>
      <c r="K251" s="21" t="s">
        <v>10</v>
      </c>
      <c r="L251" s="21" t="s">
        <v>12</v>
      </c>
      <c r="M251" s="21" t="s">
        <v>10</v>
      </c>
      <c r="N251" s="21" t="s">
        <v>10</v>
      </c>
      <c r="O251" s="21" t="s">
        <v>10</v>
      </c>
      <c r="P251" s="21" t="s">
        <v>10</v>
      </c>
      <c r="Q251" s="21" t="s">
        <v>10</v>
      </c>
      <c r="R251" s="141" t="s">
        <v>204</v>
      </c>
      <c r="S251" s="144" t="s">
        <v>33</v>
      </c>
      <c r="T251" s="114"/>
      <c r="U251" s="114"/>
      <c r="V251" s="25">
        <f>V252+V253</f>
        <v>7693.5999999999995</v>
      </c>
      <c r="W251" s="59"/>
      <c r="X251" s="59"/>
      <c r="Y251" s="59"/>
      <c r="Z251" s="25">
        <f>Z252+Z253</f>
        <v>7693.5999999999995</v>
      </c>
      <c r="AA251" s="23">
        <v>2023</v>
      </c>
    </row>
    <row r="252" spans="1:31" x14ac:dyDescent="0.25">
      <c r="A252" s="21" t="s">
        <v>10</v>
      </c>
      <c r="B252" s="21" t="s">
        <v>11</v>
      </c>
      <c r="C252" s="21" t="s">
        <v>12</v>
      </c>
      <c r="D252" s="21" t="s">
        <v>10</v>
      </c>
      <c r="E252" s="21" t="s">
        <v>20</v>
      </c>
      <c r="F252" s="21" t="s">
        <v>10</v>
      </c>
      <c r="G252" s="21" t="s">
        <v>19</v>
      </c>
      <c r="H252" s="21" t="s">
        <v>10</v>
      </c>
      <c r="I252" s="21" t="s">
        <v>18</v>
      </c>
      <c r="J252" s="21" t="s">
        <v>11</v>
      </c>
      <c r="K252" s="21" t="s">
        <v>10</v>
      </c>
      <c r="L252" s="21" t="s">
        <v>12</v>
      </c>
      <c r="M252" s="21" t="s">
        <v>40</v>
      </c>
      <c r="N252" s="21" t="s">
        <v>10</v>
      </c>
      <c r="O252" s="21" t="s">
        <v>18</v>
      </c>
      <c r="P252" s="21" t="s">
        <v>17</v>
      </c>
      <c r="Q252" s="21" t="s">
        <v>11</v>
      </c>
      <c r="R252" s="142"/>
      <c r="S252" s="145"/>
      <c r="T252" s="25"/>
      <c r="U252" s="59"/>
      <c r="V252" s="24">
        <v>769.4</v>
      </c>
      <c r="W252" s="59"/>
      <c r="X252" s="59"/>
      <c r="Y252" s="59"/>
      <c r="Z252" s="25">
        <f>T252+U252+V252+W252+X252+Y252</f>
        <v>769.4</v>
      </c>
      <c r="AA252" s="23">
        <v>2023</v>
      </c>
      <c r="AB252" s="75"/>
    </row>
    <row r="253" spans="1:31" x14ac:dyDescent="0.25">
      <c r="A253" s="21" t="s">
        <v>10</v>
      </c>
      <c r="B253" s="21" t="s">
        <v>11</v>
      </c>
      <c r="C253" s="21" t="s">
        <v>12</v>
      </c>
      <c r="D253" s="21" t="s">
        <v>10</v>
      </c>
      <c r="E253" s="21" t="s">
        <v>20</v>
      </c>
      <c r="F253" s="21" t="s">
        <v>10</v>
      </c>
      <c r="G253" s="21" t="s">
        <v>19</v>
      </c>
      <c r="H253" s="21" t="s">
        <v>10</v>
      </c>
      <c r="I253" s="21" t="s">
        <v>18</v>
      </c>
      <c r="J253" s="21" t="s">
        <v>11</v>
      </c>
      <c r="K253" s="21" t="s">
        <v>10</v>
      </c>
      <c r="L253" s="21" t="s">
        <v>12</v>
      </c>
      <c r="M253" s="21" t="s">
        <v>11</v>
      </c>
      <c r="N253" s="21" t="s">
        <v>10</v>
      </c>
      <c r="O253" s="21" t="s">
        <v>18</v>
      </c>
      <c r="P253" s="21" t="s">
        <v>17</v>
      </c>
      <c r="Q253" s="21" t="s">
        <v>11</v>
      </c>
      <c r="R253" s="143"/>
      <c r="S253" s="146"/>
      <c r="T253" s="25"/>
      <c r="U253" s="59"/>
      <c r="V253" s="24">
        <v>6924.2</v>
      </c>
      <c r="W253" s="59"/>
      <c r="X253" s="59"/>
      <c r="Y253" s="59"/>
      <c r="Z253" s="25">
        <f>T253+U253+V253+W253+X253+Y253</f>
        <v>6924.2</v>
      </c>
      <c r="AA253" s="23">
        <v>2023</v>
      </c>
      <c r="AB253" s="75"/>
    </row>
    <row r="254" spans="1:31" s="16" customFormat="1" ht="30" x14ac:dyDescent="0.25">
      <c r="A254" s="13"/>
      <c r="B254" s="13"/>
      <c r="C254" s="13"/>
      <c r="D254" s="13"/>
      <c r="E254" s="13"/>
      <c r="F254" s="13"/>
      <c r="G254" s="13"/>
      <c r="H254" s="13"/>
      <c r="I254" s="14"/>
      <c r="J254" s="13"/>
      <c r="K254" s="13"/>
      <c r="L254" s="13"/>
      <c r="M254" s="13"/>
      <c r="N254" s="13"/>
      <c r="O254" s="13"/>
      <c r="P254" s="13"/>
      <c r="Q254" s="13"/>
      <c r="R254" s="12" t="s">
        <v>199</v>
      </c>
      <c r="S254" s="6" t="s">
        <v>39</v>
      </c>
      <c r="T254" s="60"/>
      <c r="U254" s="107"/>
      <c r="V254" s="60">
        <v>0.72799999999999998</v>
      </c>
      <c r="W254" s="109"/>
      <c r="X254" s="109"/>
      <c r="Y254" s="109"/>
      <c r="Z254" s="61">
        <f>V254</f>
        <v>0.72799999999999998</v>
      </c>
      <c r="AA254" s="6">
        <v>2023</v>
      </c>
      <c r="AB254" s="75"/>
      <c r="AC254" s="63"/>
      <c r="AD254" s="64"/>
      <c r="AE254" s="65"/>
    </row>
    <row r="255" spans="1:31" ht="26.25" customHeight="1" x14ac:dyDescent="0.25">
      <c r="A255" s="21" t="s">
        <v>10</v>
      </c>
      <c r="B255" s="21" t="s">
        <v>11</v>
      </c>
      <c r="C255" s="21" t="s">
        <v>12</v>
      </c>
      <c r="D255" s="21" t="s">
        <v>10</v>
      </c>
      <c r="E255" s="21" t="s">
        <v>20</v>
      </c>
      <c r="F255" s="21" t="s">
        <v>10</v>
      </c>
      <c r="G255" s="21" t="s">
        <v>19</v>
      </c>
      <c r="H255" s="21" t="s">
        <v>10</v>
      </c>
      <c r="I255" s="21" t="s">
        <v>18</v>
      </c>
      <c r="J255" s="21" t="s">
        <v>11</v>
      </c>
      <c r="K255" s="21" t="s">
        <v>10</v>
      </c>
      <c r="L255" s="21" t="s">
        <v>12</v>
      </c>
      <c r="M255" s="21" t="s">
        <v>10</v>
      </c>
      <c r="N255" s="21" t="s">
        <v>10</v>
      </c>
      <c r="O255" s="21" t="s">
        <v>10</v>
      </c>
      <c r="P255" s="21" t="s">
        <v>10</v>
      </c>
      <c r="Q255" s="21" t="s">
        <v>10</v>
      </c>
      <c r="R255" s="141" t="s">
        <v>205</v>
      </c>
      <c r="S255" s="144" t="s">
        <v>33</v>
      </c>
      <c r="T255" s="114"/>
      <c r="U255" s="114"/>
      <c r="V255" s="25">
        <f>V256+V257</f>
        <v>3082</v>
      </c>
      <c r="W255" s="59"/>
      <c r="X255" s="59"/>
      <c r="Y255" s="59"/>
      <c r="Z255" s="25">
        <f>Z256+Z257</f>
        <v>3082</v>
      </c>
      <c r="AA255" s="23">
        <v>2023</v>
      </c>
    </row>
    <row r="256" spans="1:31" ht="23.25" customHeight="1" x14ac:dyDescent="0.25">
      <c r="A256" s="21" t="s">
        <v>10</v>
      </c>
      <c r="B256" s="21" t="s">
        <v>11</v>
      </c>
      <c r="C256" s="21" t="s">
        <v>12</v>
      </c>
      <c r="D256" s="21" t="s">
        <v>10</v>
      </c>
      <c r="E256" s="21" t="s">
        <v>20</v>
      </c>
      <c r="F256" s="21" t="s">
        <v>10</v>
      </c>
      <c r="G256" s="21" t="s">
        <v>19</v>
      </c>
      <c r="H256" s="21" t="s">
        <v>10</v>
      </c>
      <c r="I256" s="21" t="s">
        <v>18</v>
      </c>
      <c r="J256" s="21" t="s">
        <v>11</v>
      </c>
      <c r="K256" s="21" t="s">
        <v>10</v>
      </c>
      <c r="L256" s="21" t="s">
        <v>12</v>
      </c>
      <c r="M256" s="21" t="s">
        <v>40</v>
      </c>
      <c r="N256" s="21" t="s">
        <v>10</v>
      </c>
      <c r="O256" s="21" t="s">
        <v>18</v>
      </c>
      <c r="P256" s="21" t="s">
        <v>17</v>
      </c>
      <c r="Q256" s="21" t="s">
        <v>11</v>
      </c>
      <c r="R256" s="142"/>
      <c r="S256" s="145"/>
      <c r="T256" s="25"/>
      <c r="U256" s="59"/>
      <c r="V256" s="24">
        <v>308.2</v>
      </c>
      <c r="W256" s="59"/>
      <c r="X256" s="59"/>
      <c r="Y256" s="59"/>
      <c r="Z256" s="25">
        <f>T256+U256+V256+W256+X256+Y256</f>
        <v>308.2</v>
      </c>
      <c r="AA256" s="23">
        <v>2023</v>
      </c>
      <c r="AB256" s="75"/>
    </row>
    <row r="257" spans="1:31" ht="24.75" customHeight="1" x14ac:dyDescent="0.25">
      <c r="A257" s="21" t="s">
        <v>10</v>
      </c>
      <c r="B257" s="21" t="s">
        <v>11</v>
      </c>
      <c r="C257" s="21" t="s">
        <v>12</v>
      </c>
      <c r="D257" s="21" t="s">
        <v>10</v>
      </c>
      <c r="E257" s="21" t="s">
        <v>20</v>
      </c>
      <c r="F257" s="21" t="s">
        <v>10</v>
      </c>
      <c r="G257" s="21" t="s">
        <v>19</v>
      </c>
      <c r="H257" s="21" t="s">
        <v>10</v>
      </c>
      <c r="I257" s="21" t="s">
        <v>18</v>
      </c>
      <c r="J257" s="21" t="s">
        <v>11</v>
      </c>
      <c r="K257" s="21" t="s">
        <v>10</v>
      </c>
      <c r="L257" s="21" t="s">
        <v>12</v>
      </c>
      <c r="M257" s="21" t="s">
        <v>11</v>
      </c>
      <c r="N257" s="21" t="s">
        <v>10</v>
      </c>
      <c r="O257" s="21" t="s">
        <v>18</v>
      </c>
      <c r="P257" s="21" t="s">
        <v>17</v>
      </c>
      <c r="Q257" s="21" t="s">
        <v>11</v>
      </c>
      <c r="R257" s="143"/>
      <c r="S257" s="146"/>
      <c r="T257" s="25"/>
      <c r="U257" s="59"/>
      <c r="V257" s="24">
        <v>2773.8</v>
      </c>
      <c r="W257" s="59"/>
      <c r="X257" s="59"/>
      <c r="Y257" s="59"/>
      <c r="Z257" s="25">
        <f>T257+U257+V257+W257+X257+Y257</f>
        <v>2773.8</v>
      </c>
      <c r="AA257" s="23">
        <v>2023</v>
      </c>
      <c r="AB257" s="75"/>
    </row>
    <row r="258" spans="1:31" s="16" customFormat="1" ht="30" x14ac:dyDescent="0.25">
      <c r="A258" s="13"/>
      <c r="B258" s="13"/>
      <c r="C258" s="13"/>
      <c r="D258" s="13"/>
      <c r="E258" s="13"/>
      <c r="F258" s="13"/>
      <c r="G258" s="13"/>
      <c r="H258" s="13"/>
      <c r="I258" s="14"/>
      <c r="J258" s="13"/>
      <c r="K258" s="13"/>
      <c r="L258" s="13"/>
      <c r="M258" s="13"/>
      <c r="N258" s="13"/>
      <c r="O258" s="13"/>
      <c r="P258" s="13"/>
      <c r="Q258" s="13"/>
      <c r="R258" s="12" t="s">
        <v>206</v>
      </c>
      <c r="S258" s="6" t="s">
        <v>39</v>
      </c>
      <c r="T258" s="60"/>
      <c r="U258" s="107"/>
      <c r="V258" s="60">
        <v>2.4129999999999998</v>
      </c>
      <c r="W258" s="109"/>
      <c r="X258" s="109"/>
      <c r="Y258" s="109"/>
      <c r="Z258" s="61">
        <f>V258</f>
        <v>2.4129999999999998</v>
      </c>
      <c r="AA258" s="6">
        <v>2023</v>
      </c>
      <c r="AB258" s="75"/>
      <c r="AC258" s="63"/>
      <c r="AD258" s="64"/>
      <c r="AE258" s="65"/>
    </row>
    <row r="259" spans="1:31" x14ac:dyDescent="0.25">
      <c r="A259" s="21" t="s">
        <v>10</v>
      </c>
      <c r="B259" s="21" t="s">
        <v>11</v>
      </c>
      <c r="C259" s="21" t="s">
        <v>12</v>
      </c>
      <c r="D259" s="21" t="s">
        <v>10</v>
      </c>
      <c r="E259" s="21" t="s">
        <v>20</v>
      </c>
      <c r="F259" s="21" t="s">
        <v>10</v>
      </c>
      <c r="G259" s="21" t="s">
        <v>19</v>
      </c>
      <c r="H259" s="21" t="s">
        <v>10</v>
      </c>
      <c r="I259" s="21" t="s">
        <v>18</v>
      </c>
      <c r="J259" s="21" t="s">
        <v>11</v>
      </c>
      <c r="K259" s="21" t="s">
        <v>10</v>
      </c>
      <c r="L259" s="21" t="s">
        <v>12</v>
      </c>
      <c r="M259" s="21" t="s">
        <v>10</v>
      </c>
      <c r="N259" s="21" t="s">
        <v>10</v>
      </c>
      <c r="O259" s="21" t="s">
        <v>10</v>
      </c>
      <c r="P259" s="21" t="s">
        <v>10</v>
      </c>
      <c r="Q259" s="21" t="s">
        <v>10</v>
      </c>
      <c r="R259" s="141" t="s">
        <v>207</v>
      </c>
      <c r="S259" s="144" t="s">
        <v>33</v>
      </c>
      <c r="T259" s="114"/>
      <c r="U259" s="114"/>
      <c r="V259" s="25">
        <f>V260+V261</f>
        <v>6373.3</v>
      </c>
      <c r="W259" s="25">
        <f>W262+W263</f>
        <v>14279.8</v>
      </c>
      <c r="X259" s="59"/>
      <c r="Y259" s="59"/>
      <c r="Z259" s="25">
        <f>V259+W259</f>
        <v>20653.099999999999</v>
      </c>
      <c r="AA259" s="23">
        <v>2024</v>
      </c>
      <c r="AB259" s="129" t="s">
        <v>200</v>
      </c>
    </row>
    <row r="260" spans="1:31" x14ac:dyDescent="0.25">
      <c r="A260" s="21" t="s">
        <v>10</v>
      </c>
      <c r="B260" s="21" t="s">
        <v>11</v>
      </c>
      <c r="C260" s="21" t="s">
        <v>12</v>
      </c>
      <c r="D260" s="21" t="s">
        <v>10</v>
      </c>
      <c r="E260" s="21" t="s">
        <v>20</v>
      </c>
      <c r="F260" s="21" t="s">
        <v>10</v>
      </c>
      <c r="G260" s="21" t="s">
        <v>19</v>
      </c>
      <c r="H260" s="21" t="s">
        <v>10</v>
      </c>
      <c r="I260" s="21" t="s">
        <v>18</v>
      </c>
      <c r="J260" s="21" t="s">
        <v>11</v>
      </c>
      <c r="K260" s="21" t="s">
        <v>10</v>
      </c>
      <c r="L260" s="21" t="s">
        <v>12</v>
      </c>
      <c r="M260" s="21" t="s">
        <v>40</v>
      </c>
      <c r="N260" s="21" t="s">
        <v>10</v>
      </c>
      <c r="O260" s="21" t="s">
        <v>18</v>
      </c>
      <c r="P260" s="21" t="s">
        <v>17</v>
      </c>
      <c r="Q260" s="21" t="s">
        <v>11</v>
      </c>
      <c r="R260" s="142"/>
      <c r="S260" s="145"/>
      <c r="T260" s="25"/>
      <c r="U260" s="59"/>
      <c r="V260" s="24">
        <v>569.70000000000005</v>
      </c>
      <c r="W260" s="24"/>
      <c r="X260" s="59"/>
      <c r="Y260" s="59"/>
      <c r="Z260" s="25">
        <f>T260+U260+V260+W260+X260+Y260</f>
        <v>569.70000000000005</v>
      </c>
      <c r="AA260" s="23">
        <v>2023</v>
      </c>
      <c r="AB260" s="75"/>
    </row>
    <row r="261" spans="1:31" x14ac:dyDescent="0.25">
      <c r="A261" s="21" t="s">
        <v>10</v>
      </c>
      <c r="B261" s="21" t="s">
        <v>11</v>
      </c>
      <c r="C261" s="21" t="s">
        <v>12</v>
      </c>
      <c r="D261" s="21" t="s">
        <v>10</v>
      </c>
      <c r="E261" s="21" t="s">
        <v>20</v>
      </c>
      <c r="F261" s="21" t="s">
        <v>10</v>
      </c>
      <c r="G261" s="21" t="s">
        <v>19</v>
      </c>
      <c r="H261" s="21" t="s">
        <v>10</v>
      </c>
      <c r="I261" s="21" t="s">
        <v>18</v>
      </c>
      <c r="J261" s="21" t="s">
        <v>11</v>
      </c>
      <c r="K261" s="21" t="s">
        <v>10</v>
      </c>
      <c r="L261" s="21" t="s">
        <v>12</v>
      </c>
      <c r="M261" s="21" t="s">
        <v>11</v>
      </c>
      <c r="N261" s="21" t="s">
        <v>10</v>
      </c>
      <c r="O261" s="21" t="s">
        <v>18</v>
      </c>
      <c r="P261" s="21" t="s">
        <v>17</v>
      </c>
      <c r="Q261" s="21" t="s">
        <v>11</v>
      </c>
      <c r="R261" s="142"/>
      <c r="S261" s="145"/>
      <c r="T261" s="25"/>
      <c r="U261" s="59"/>
      <c r="V261" s="24">
        <v>5803.6</v>
      </c>
      <c r="W261" s="24"/>
      <c r="X261" s="59"/>
      <c r="Y261" s="59"/>
      <c r="Z261" s="25">
        <f>T261+U261+V261+W261+X261+Y261</f>
        <v>5803.6</v>
      </c>
      <c r="AA261" s="23">
        <v>2023</v>
      </c>
      <c r="AB261" s="75"/>
    </row>
    <row r="262" spans="1:31" x14ac:dyDescent="0.25">
      <c r="A262" s="21" t="s">
        <v>10</v>
      </c>
      <c r="B262" s="21" t="s">
        <v>11</v>
      </c>
      <c r="C262" s="21" t="s">
        <v>12</v>
      </c>
      <c r="D262" s="21" t="s">
        <v>10</v>
      </c>
      <c r="E262" s="21" t="s">
        <v>20</v>
      </c>
      <c r="F262" s="21" t="s">
        <v>10</v>
      </c>
      <c r="G262" s="21" t="s">
        <v>19</v>
      </c>
      <c r="H262" s="21" t="s">
        <v>10</v>
      </c>
      <c r="I262" s="21" t="s">
        <v>18</v>
      </c>
      <c r="J262" s="21" t="s">
        <v>11</v>
      </c>
      <c r="K262" s="21" t="s">
        <v>10</v>
      </c>
      <c r="L262" s="21" t="s">
        <v>12</v>
      </c>
      <c r="M262" s="21" t="s">
        <v>40</v>
      </c>
      <c r="N262" s="21" t="s">
        <v>10</v>
      </c>
      <c r="O262" s="21" t="s">
        <v>11</v>
      </c>
      <c r="P262" s="21" t="s">
        <v>17</v>
      </c>
      <c r="Q262" s="21" t="s">
        <v>11</v>
      </c>
      <c r="R262" s="142"/>
      <c r="S262" s="145"/>
      <c r="T262" s="25"/>
      <c r="U262" s="59"/>
      <c r="V262" s="24"/>
      <c r="W262" s="24">
        <f>2000-572</f>
        <v>1428</v>
      </c>
      <c r="X262" s="59"/>
      <c r="Y262" s="59"/>
      <c r="Z262" s="25">
        <f>T262+U262+V262+W262+X262+Y262</f>
        <v>1428</v>
      </c>
      <c r="AA262" s="23">
        <v>2024</v>
      </c>
      <c r="AB262" s="75"/>
    </row>
    <row r="263" spans="1:31" x14ac:dyDescent="0.25">
      <c r="A263" s="21" t="s">
        <v>10</v>
      </c>
      <c r="B263" s="21" t="s">
        <v>11</v>
      </c>
      <c r="C263" s="21" t="s">
        <v>12</v>
      </c>
      <c r="D263" s="21" t="s">
        <v>10</v>
      </c>
      <c r="E263" s="21" t="s">
        <v>20</v>
      </c>
      <c r="F263" s="21" t="s">
        <v>10</v>
      </c>
      <c r="G263" s="21" t="s">
        <v>19</v>
      </c>
      <c r="H263" s="21" t="s">
        <v>10</v>
      </c>
      <c r="I263" s="21" t="s">
        <v>18</v>
      </c>
      <c r="J263" s="21" t="s">
        <v>11</v>
      </c>
      <c r="K263" s="21" t="s">
        <v>10</v>
      </c>
      <c r="L263" s="21" t="s">
        <v>12</v>
      </c>
      <c r="M263" s="21" t="s">
        <v>11</v>
      </c>
      <c r="N263" s="21" t="s">
        <v>10</v>
      </c>
      <c r="O263" s="21" t="s">
        <v>11</v>
      </c>
      <c r="P263" s="21" t="s">
        <v>17</v>
      </c>
      <c r="Q263" s="21" t="s">
        <v>11</v>
      </c>
      <c r="R263" s="143"/>
      <c r="S263" s="146"/>
      <c r="T263" s="25"/>
      <c r="U263" s="59"/>
      <c r="V263" s="24"/>
      <c r="W263" s="24">
        <f>18000-5148.2</f>
        <v>12851.8</v>
      </c>
      <c r="X263" s="59"/>
      <c r="Y263" s="59"/>
      <c r="Z263" s="25">
        <f>T263+U263+V263+W263+X263+Y263</f>
        <v>12851.8</v>
      </c>
      <c r="AA263" s="23">
        <v>2024</v>
      </c>
      <c r="AB263" s="75"/>
    </row>
    <row r="264" spans="1:31" s="16" customFormat="1" ht="29.25" x14ac:dyDescent="0.25">
      <c r="A264" s="13"/>
      <c r="B264" s="13"/>
      <c r="C264" s="13"/>
      <c r="D264" s="13"/>
      <c r="E264" s="13"/>
      <c r="F264" s="13"/>
      <c r="G264" s="13"/>
      <c r="H264" s="13"/>
      <c r="I264" s="14"/>
      <c r="J264" s="13"/>
      <c r="K264" s="13"/>
      <c r="L264" s="13"/>
      <c r="M264" s="13"/>
      <c r="N264" s="13"/>
      <c r="O264" s="13"/>
      <c r="P264" s="13"/>
      <c r="Q264" s="13"/>
      <c r="R264" s="12" t="s">
        <v>189</v>
      </c>
      <c r="S264" s="6" t="s">
        <v>2</v>
      </c>
      <c r="T264" s="60"/>
      <c r="U264" s="107"/>
      <c r="V264" s="60">
        <v>0.74</v>
      </c>
      <c r="W264" s="60"/>
      <c r="X264" s="109"/>
      <c r="Y264" s="109"/>
      <c r="Z264" s="61">
        <f>V264</f>
        <v>0.74</v>
      </c>
      <c r="AA264" s="6">
        <v>2023</v>
      </c>
      <c r="AB264" s="75"/>
      <c r="AC264" s="63"/>
      <c r="AD264" s="64"/>
      <c r="AE264" s="65"/>
    </row>
    <row r="265" spans="1:31" s="1" customFormat="1" ht="30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7" t="s">
        <v>176</v>
      </c>
      <c r="S265" s="58" t="s">
        <v>1</v>
      </c>
      <c r="T265" s="5"/>
      <c r="U265" s="5"/>
      <c r="V265" s="5">
        <v>24.2</v>
      </c>
      <c r="W265" s="5">
        <v>75.8</v>
      </c>
      <c r="X265" s="107"/>
      <c r="Y265" s="107"/>
      <c r="Z265" s="3">
        <f>V265+W265</f>
        <v>100</v>
      </c>
      <c r="AA265" s="6">
        <v>2024</v>
      </c>
      <c r="AB265" s="130"/>
      <c r="AC265" s="17"/>
      <c r="AD265" s="17"/>
    </row>
    <row r="266" spans="1:31" x14ac:dyDescent="0.25">
      <c r="A266" s="21" t="s">
        <v>10</v>
      </c>
      <c r="B266" s="21" t="s">
        <v>11</v>
      </c>
      <c r="C266" s="21" t="s">
        <v>12</v>
      </c>
      <c r="D266" s="21" t="s">
        <v>10</v>
      </c>
      <c r="E266" s="21" t="s">
        <v>20</v>
      </c>
      <c r="F266" s="21" t="s">
        <v>10</v>
      </c>
      <c r="G266" s="21" t="s">
        <v>19</v>
      </c>
      <c r="H266" s="21" t="s">
        <v>10</v>
      </c>
      <c r="I266" s="21" t="s">
        <v>18</v>
      </c>
      <c r="J266" s="21" t="s">
        <v>11</v>
      </c>
      <c r="K266" s="21" t="s">
        <v>10</v>
      </c>
      <c r="L266" s="21" t="s">
        <v>12</v>
      </c>
      <c r="M266" s="21" t="s">
        <v>10</v>
      </c>
      <c r="N266" s="21" t="s">
        <v>10</v>
      </c>
      <c r="O266" s="21" t="s">
        <v>10</v>
      </c>
      <c r="P266" s="21" t="s">
        <v>10</v>
      </c>
      <c r="Q266" s="21" t="s">
        <v>10</v>
      </c>
      <c r="R266" s="141" t="s">
        <v>238</v>
      </c>
      <c r="S266" s="144" t="s">
        <v>33</v>
      </c>
      <c r="T266" s="114"/>
      <c r="U266" s="114"/>
      <c r="V266" s="59"/>
      <c r="W266" s="25">
        <f>W267+W268</f>
        <v>64668.100000000006</v>
      </c>
      <c r="X266" s="59"/>
      <c r="Y266" s="25">
        <f>Y267+Y268</f>
        <v>164380.5</v>
      </c>
      <c r="Z266" s="25">
        <f>Z267+Z268</f>
        <v>229048.59999999998</v>
      </c>
      <c r="AA266" s="23">
        <v>2026</v>
      </c>
      <c r="AB266" s="129" t="s">
        <v>200</v>
      </c>
    </row>
    <row r="267" spans="1:31" x14ac:dyDescent="0.25">
      <c r="A267" s="21" t="s">
        <v>10</v>
      </c>
      <c r="B267" s="21" t="s">
        <v>11</v>
      </c>
      <c r="C267" s="21" t="s">
        <v>12</v>
      </c>
      <c r="D267" s="21" t="s">
        <v>10</v>
      </c>
      <c r="E267" s="21" t="s">
        <v>20</v>
      </c>
      <c r="F267" s="21" t="s">
        <v>10</v>
      </c>
      <c r="G267" s="21" t="s">
        <v>19</v>
      </c>
      <c r="H267" s="21" t="s">
        <v>10</v>
      </c>
      <c r="I267" s="21" t="s">
        <v>18</v>
      </c>
      <c r="J267" s="21" t="s">
        <v>11</v>
      </c>
      <c r="K267" s="21" t="s">
        <v>10</v>
      </c>
      <c r="L267" s="21" t="s">
        <v>12</v>
      </c>
      <c r="M267" s="21" t="s">
        <v>40</v>
      </c>
      <c r="N267" s="21" t="s">
        <v>10</v>
      </c>
      <c r="O267" s="21" t="s">
        <v>11</v>
      </c>
      <c r="P267" s="21" t="s">
        <v>17</v>
      </c>
      <c r="Q267" s="21" t="s">
        <v>11</v>
      </c>
      <c r="R267" s="142"/>
      <c r="S267" s="145"/>
      <c r="T267" s="25"/>
      <c r="U267" s="59"/>
      <c r="V267" s="56"/>
      <c r="W267" s="24">
        <f>7099.2-632.4</f>
        <v>6466.8</v>
      </c>
      <c r="X267" s="56"/>
      <c r="Y267" s="24">
        <v>16438</v>
      </c>
      <c r="Z267" s="25">
        <f>T267+U267+V267+W267+X267+Y267</f>
        <v>22904.799999999999</v>
      </c>
      <c r="AA267" s="23">
        <v>2026</v>
      </c>
      <c r="AB267" s="75"/>
    </row>
    <row r="268" spans="1:31" x14ac:dyDescent="0.25">
      <c r="A268" s="21" t="s">
        <v>10</v>
      </c>
      <c r="B268" s="21" t="s">
        <v>11</v>
      </c>
      <c r="C268" s="21" t="s">
        <v>12</v>
      </c>
      <c r="D268" s="21" t="s">
        <v>10</v>
      </c>
      <c r="E268" s="21" t="s">
        <v>20</v>
      </c>
      <c r="F268" s="21" t="s">
        <v>10</v>
      </c>
      <c r="G268" s="21" t="s">
        <v>19</v>
      </c>
      <c r="H268" s="21" t="s">
        <v>10</v>
      </c>
      <c r="I268" s="21" t="s">
        <v>18</v>
      </c>
      <c r="J268" s="21" t="s">
        <v>11</v>
      </c>
      <c r="K268" s="21" t="s">
        <v>10</v>
      </c>
      <c r="L268" s="21" t="s">
        <v>12</v>
      </c>
      <c r="M268" s="21" t="s">
        <v>11</v>
      </c>
      <c r="N268" s="21" t="s">
        <v>10</v>
      </c>
      <c r="O268" s="21" t="s">
        <v>11</v>
      </c>
      <c r="P268" s="21" t="s">
        <v>17</v>
      </c>
      <c r="Q268" s="21" t="s">
        <v>11</v>
      </c>
      <c r="R268" s="143"/>
      <c r="S268" s="146"/>
      <c r="T268" s="25"/>
      <c r="U268" s="59"/>
      <c r="V268" s="56"/>
      <c r="W268" s="24">
        <f>63893.4-5692.1</f>
        <v>58201.3</v>
      </c>
      <c r="X268" s="56"/>
      <c r="Y268" s="24">
        <v>147942.5</v>
      </c>
      <c r="Z268" s="25">
        <f>T268+U268+V268+W268+X268+Y268</f>
        <v>206143.8</v>
      </c>
      <c r="AA268" s="23">
        <v>2026</v>
      </c>
      <c r="AB268" s="75"/>
    </row>
    <row r="269" spans="1:31" s="16" customFormat="1" ht="30" x14ac:dyDescent="0.25">
      <c r="A269" s="13"/>
      <c r="B269" s="13"/>
      <c r="C269" s="13"/>
      <c r="D269" s="13"/>
      <c r="E269" s="13"/>
      <c r="F269" s="13"/>
      <c r="G269" s="13"/>
      <c r="H269" s="13"/>
      <c r="I269" s="14"/>
      <c r="J269" s="13"/>
      <c r="K269" s="13"/>
      <c r="L269" s="13"/>
      <c r="M269" s="13"/>
      <c r="N269" s="13"/>
      <c r="O269" s="13"/>
      <c r="P269" s="13"/>
      <c r="Q269" s="13"/>
      <c r="R269" s="12" t="s">
        <v>206</v>
      </c>
      <c r="S269" s="6" t="s">
        <v>39</v>
      </c>
      <c r="T269" s="60"/>
      <c r="U269" s="107"/>
      <c r="V269" s="109"/>
      <c r="W269" s="60">
        <v>21.141999999999999</v>
      </c>
      <c r="X269" s="109"/>
      <c r="Y269" s="60">
        <v>22.125</v>
      </c>
      <c r="Z269" s="61">
        <f>W269+Y269</f>
        <v>43.266999999999996</v>
      </c>
      <c r="AA269" s="6">
        <v>2026</v>
      </c>
      <c r="AB269" s="75"/>
      <c r="AC269" s="63"/>
      <c r="AD269" s="64"/>
      <c r="AE269" s="65"/>
    </row>
    <row r="270" spans="1:31" x14ac:dyDescent="0.25">
      <c r="A270" s="21" t="s">
        <v>10</v>
      </c>
      <c r="B270" s="21" t="s">
        <v>11</v>
      </c>
      <c r="C270" s="21" t="s">
        <v>12</v>
      </c>
      <c r="D270" s="21" t="s">
        <v>10</v>
      </c>
      <c r="E270" s="21" t="s">
        <v>20</v>
      </c>
      <c r="F270" s="21" t="s">
        <v>10</v>
      </c>
      <c r="G270" s="21" t="s">
        <v>19</v>
      </c>
      <c r="H270" s="21" t="s">
        <v>10</v>
      </c>
      <c r="I270" s="21" t="s">
        <v>18</v>
      </c>
      <c r="J270" s="21" t="s">
        <v>11</v>
      </c>
      <c r="K270" s="21" t="s">
        <v>10</v>
      </c>
      <c r="L270" s="21" t="s">
        <v>12</v>
      </c>
      <c r="M270" s="21" t="s">
        <v>10</v>
      </c>
      <c r="N270" s="21" t="s">
        <v>10</v>
      </c>
      <c r="O270" s="21" t="s">
        <v>10</v>
      </c>
      <c r="P270" s="21" t="s">
        <v>10</v>
      </c>
      <c r="Q270" s="21" t="s">
        <v>10</v>
      </c>
      <c r="R270" s="141" t="s">
        <v>245</v>
      </c>
      <c r="S270" s="144" t="s">
        <v>33</v>
      </c>
      <c r="T270" s="114"/>
      <c r="U270" s="114"/>
      <c r="V270" s="59"/>
      <c r="W270" s="25">
        <f>W271+W272</f>
        <v>25422.6</v>
      </c>
      <c r="X270" s="59"/>
      <c r="Y270" s="59"/>
      <c r="Z270" s="25">
        <f>Z271+Z272</f>
        <v>25422.6</v>
      </c>
      <c r="AA270" s="23">
        <v>2024</v>
      </c>
      <c r="AB270" s="129" t="s">
        <v>200</v>
      </c>
    </row>
    <row r="271" spans="1:31" x14ac:dyDescent="0.25">
      <c r="A271" s="21" t="s">
        <v>10</v>
      </c>
      <c r="B271" s="21" t="s">
        <v>11</v>
      </c>
      <c r="C271" s="21" t="s">
        <v>12</v>
      </c>
      <c r="D271" s="21" t="s">
        <v>10</v>
      </c>
      <c r="E271" s="21" t="s">
        <v>20</v>
      </c>
      <c r="F271" s="21" t="s">
        <v>10</v>
      </c>
      <c r="G271" s="21" t="s">
        <v>19</v>
      </c>
      <c r="H271" s="21" t="s">
        <v>10</v>
      </c>
      <c r="I271" s="21" t="s">
        <v>18</v>
      </c>
      <c r="J271" s="21" t="s">
        <v>11</v>
      </c>
      <c r="K271" s="21" t="s">
        <v>10</v>
      </c>
      <c r="L271" s="21" t="s">
        <v>12</v>
      </c>
      <c r="M271" s="21" t="s">
        <v>40</v>
      </c>
      <c r="N271" s="21" t="s">
        <v>10</v>
      </c>
      <c r="O271" s="21" t="s">
        <v>11</v>
      </c>
      <c r="P271" s="21" t="s">
        <v>17</v>
      </c>
      <c r="Q271" s="21" t="s">
        <v>11</v>
      </c>
      <c r="R271" s="142"/>
      <c r="S271" s="145"/>
      <c r="T271" s="25"/>
      <c r="U271" s="59"/>
      <c r="V271" s="56"/>
      <c r="W271" s="24">
        <f>2630.8+799.1-887.6</f>
        <v>2542.3000000000002</v>
      </c>
      <c r="X271" s="59"/>
      <c r="Y271" s="59"/>
      <c r="Z271" s="25">
        <f>T271+U271+V271+W271+X271+Y271</f>
        <v>2542.3000000000002</v>
      </c>
      <c r="AA271" s="23">
        <v>2024</v>
      </c>
      <c r="AB271" s="75"/>
    </row>
    <row r="272" spans="1:31" x14ac:dyDescent="0.25">
      <c r="A272" s="21" t="s">
        <v>10</v>
      </c>
      <c r="B272" s="21" t="s">
        <v>11</v>
      </c>
      <c r="C272" s="21" t="s">
        <v>12</v>
      </c>
      <c r="D272" s="21" t="s">
        <v>10</v>
      </c>
      <c r="E272" s="21" t="s">
        <v>20</v>
      </c>
      <c r="F272" s="21" t="s">
        <v>10</v>
      </c>
      <c r="G272" s="21" t="s">
        <v>19</v>
      </c>
      <c r="H272" s="21" t="s">
        <v>10</v>
      </c>
      <c r="I272" s="21" t="s">
        <v>18</v>
      </c>
      <c r="J272" s="21" t="s">
        <v>11</v>
      </c>
      <c r="K272" s="21" t="s">
        <v>10</v>
      </c>
      <c r="L272" s="21" t="s">
        <v>12</v>
      </c>
      <c r="M272" s="21" t="s">
        <v>11</v>
      </c>
      <c r="N272" s="21" t="s">
        <v>10</v>
      </c>
      <c r="O272" s="21" t="s">
        <v>11</v>
      </c>
      <c r="P272" s="21" t="s">
        <v>17</v>
      </c>
      <c r="Q272" s="21" t="s">
        <v>11</v>
      </c>
      <c r="R272" s="143"/>
      <c r="S272" s="146"/>
      <c r="T272" s="25"/>
      <c r="U272" s="59"/>
      <c r="V272" s="56"/>
      <c r="W272" s="24">
        <f>23677+7191.6-7988.3</f>
        <v>22880.3</v>
      </c>
      <c r="X272" s="59"/>
      <c r="Y272" s="59"/>
      <c r="Z272" s="25">
        <f>T272+U272+V272+W272+X272+Y272</f>
        <v>22880.3</v>
      </c>
      <c r="AA272" s="23">
        <v>2024</v>
      </c>
      <c r="AB272" s="75"/>
    </row>
    <row r="273" spans="1:31" s="16" customFormat="1" ht="30" x14ac:dyDescent="0.25">
      <c r="A273" s="13"/>
      <c r="B273" s="13"/>
      <c r="C273" s="13"/>
      <c r="D273" s="13"/>
      <c r="E273" s="13"/>
      <c r="F273" s="13"/>
      <c r="G273" s="13"/>
      <c r="H273" s="13"/>
      <c r="I273" s="14"/>
      <c r="J273" s="13"/>
      <c r="K273" s="13"/>
      <c r="L273" s="13"/>
      <c r="M273" s="13"/>
      <c r="N273" s="13"/>
      <c r="O273" s="13"/>
      <c r="P273" s="13"/>
      <c r="Q273" s="13"/>
      <c r="R273" s="12" t="s">
        <v>199</v>
      </c>
      <c r="S273" s="6" t="s">
        <v>39</v>
      </c>
      <c r="T273" s="60"/>
      <c r="U273" s="107"/>
      <c r="V273" s="109"/>
      <c r="W273" s="60">
        <v>3.6349999999999998</v>
      </c>
      <c r="X273" s="109"/>
      <c r="Y273" s="109"/>
      <c r="Z273" s="61">
        <f>W273</f>
        <v>3.6349999999999998</v>
      </c>
      <c r="AA273" s="6">
        <v>2024</v>
      </c>
      <c r="AB273" s="75"/>
      <c r="AC273" s="63"/>
      <c r="AD273" s="64"/>
      <c r="AE273" s="65"/>
    </row>
    <row r="274" spans="1:31" ht="18" customHeight="1" x14ac:dyDescent="0.25">
      <c r="A274" s="21" t="s">
        <v>10</v>
      </c>
      <c r="B274" s="21" t="s">
        <v>11</v>
      </c>
      <c r="C274" s="21" t="s">
        <v>12</v>
      </c>
      <c r="D274" s="21" t="s">
        <v>10</v>
      </c>
      <c r="E274" s="21" t="s">
        <v>20</v>
      </c>
      <c r="F274" s="21" t="s">
        <v>10</v>
      </c>
      <c r="G274" s="21" t="s">
        <v>19</v>
      </c>
      <c r="H274" s="21" t="s">
        <v>10</v>
      </c>
      <c r="I274" s="21" t="s">
        <v>18</v>
      </c>
      <c r="J274" s="21" t="s">
        <v>11</v>
      </c>
      <c r="K274" s="21" t="s">
        <v>10</v>
      </c>
      <c r="L274" s="21" t="s">
        <v>12</v>
      </c>
      <c r="M274" s="21" t="s">
        <v>10</v>
      </c>
      <c r="N274" s="21" t="s">
        <v>10</v>
      </c>
      <c r="O274" s="21" t="s">
        <v>10</v>
      </c>
      <c r="P274" s="21" t="s">
        <v>10</v>
      </c>
      <c r="Q274" s="21" t="s">
        <v>10</v>
      </c>
      <c r="R274" s="141" t="s">
        <v>223</v>
      </c>
      <c r="S274" s="144" t="s">
        <v>33</v>
      </c>
      <c r="T274" s="114"/>
      <c r="U274" s="114"/>
      <c r="V274" s="59"/>
      <c r="W274" s="25">
        <f>W275+W276</f>
        <v>51359.5</v>
      </c>
      <c r="X274" s="59"/>
      <c r="Y274" s="59"/>
      <c r="Z274" s="25">
        <f>Z275+Z276</f>
        <v>51359.5</v>
      </c>
      <c r="AA274" s="23">
        <v>2024</v>
      </c>
      <c r="AB274" s="129" t="s">
        <v>200</v>
      </c>
    </row>
    <row r="275" spans="1:31" ht="18.75" customHeight="1" x14ac:dyDescent="0.25">
      <c r="A275" s="21" t="s">
        <v>10</v>
      </c>
      <c r="B275" s="21" t="s">
        <v>11</v>
      </c>
      <c r="C275" s="21" t="s">
        <v>12</v>
      </c>
      <c r="D275" s="21" t="s">
        <v>10</v>
      </c>
      <c r="E275" s="21" t="s">
        <v>20</v>
      </c>
      <c r="F275" s="21" t="s">
        <v>10</v>
      </c>
      <c r="G275" s="21" t="s">
        <v>19</v>
      </c>
      <c r="H275" s="21" t="s">
        <v>10</v>
      </c>
      <c r="I275" s="21" t="s">
        <v>18</v>
      </c>
      <c r="J275" s="21" t="s">
        <v>11</v>
      </c>
      <c r="K275" s="21" t="s">
        <v>10</v>
      </c>
      <c r="L275" s="21" t="s">
        <v>12</v>
      </c>
      <c r="M275" s="21" t="s">
        <v>40</v>
      </c>
      <c r="N275" s="21" t="s">
        <v>10</v>
      </c>
      <c r="O275" s="21" t="s">
        <v>11</v>
      </c>
      <c r="P275" s="21" t="s">
        <v>17</v>
      </c>
      <c r="Q275" s="21" t="s">
        <v>11</v>
      </c>
      <c r="R275" s="142"/>
      <c r="S275" s="145"/>
      <c r="T275" s="25"/>
      <c r="U275" s="59"/>
      <c r="V275" s="56"/>
      <c r="W275" s="24">
        <f>3343.5+1792.5</f>
        <v>5136</v>
      </c>
      <c r="X275" s="59"/>
      <c r="Y275" s="59"/>
      <c r="Z275" s="25">
        <f>T275+U275+V275+W275+X275+Y275</f>
        <v>5136</v>
      </c>
      <c r="AA275" s="23">
        <v>2024</v>
      </c>
      <c r="AB275" s="75"/>
    </row>
    <row r="276" spans="1:31" ht="21" customHeight="1" x14ac:dyDescent="0.25">
      <c r="A276" s="21" t="s">
        <v>10</v>
      </c>
      <c r="B276" s="21" t="s">
        <v>11</v>
      </c>
      <c r="C276" s="21" t="s">
        <v>12</v>
      </c>
      <c r="D276" s="21" t="s">
        <v>10</v>
      </c>
      <c r="E276" s="21" t="s">
        <v>20</v>
      </c>
      <c r="F276" s="21" t="s">
        <v>10</v>
      </c>
      <c r="G276" s="21" t="s">
        <v>19</v>
      </c>
      <c r="H276" s="21" t="s">
        <v>10</v>
      </c>
      <c r="I276" s="21" t="s">
        <v>18</v>
      </c>
      <c r="J276" s="21" t="s">
        <v>11</v>
      </c>
      <c r="K276" s="21" t="s">
        <v>10</v>
      </c>
      <c r="L276" s="21" t="s">
        <v>12</v>
      </c>
      <c r="M276" s="21" t="s">
        <v>11</v>
      </c>
      <c r="N276" s="21" t="s">
        <v>10</v>
      </c>
      <c r="O276" s="21" t="s">
        <v>11</v>
      </c>
      <c r="P276" s="21" t="s">
        <v>17</v>
      </c>
      <c r="Q276" s="21" t="s">
        <v>11</v>
      </c>
      <c r="R276" s="143"/>
      <c r="S276" s="146"/>
      <c r="T276" s="25"/>
      <c r="U276" s="59"/>
      <c r="V276" s="56"/>
      <c r="W276" s="24">
        <f>30091.4+16132.1</f>
        <v>46223.5</v>
      </c>
      <c r="X276" s="59"/>
      <c r="Y276" s="59"/>
      <c r="Z276" s="25">
        <f>T276+U276+V276+W276+X276+Y276</f>
        <v>46223.5</v>
      </c>
      <c r="AA276" s="23">
        <v>2024</v>
      </c>
      <c r="AB276" s="75"/>
    </row>
    <row r="277" spans="1:31" s="16" customFormat="1" ht="30" x14ac:dyDescent="0.25">
      <c r="A277" s="13"/>
      <c r="B277" s="13"/>
      <c r="C277" s="13"/>
      <c r="D277" s="13"/>
      <c r="E277" s="13"/>
      <c r="F277" s="13"/>
      <c r="G277" s="13"/>
      <c r="H277" s="13"/>
      <c r="I277" s="14"/>
      <c r="J277" s="13"/>
      <c r="K277" s="13"/>
      <c r="L277" s="13"/>
      <c r="M277" s="13"/>
      <c r="N277" s="13"/>
      <c r="O277" s="13"/>
      <c r="P277" s="13"/>
      <c r="Q277" s="13"/>
      <c r="R277" s="12" t="s">
        <v>199</v>
      </c>
      <c r="S277" s="6" t="s">
        <v>39</v>
      </c>
      <c r="T277" s="60"/>
      <c r="U277" s="107"/>
      <c r="V277" s="109"/>
      <c r="W277" s="60">
        <v>1.81</v>
      </c>
      <c r="X277" s="109"/>
      <c r="Y277" s="109"/>
      <c r="Z277" s="61">
        <f>W277</f>
        <v>1.81</v>
      </c>
      <c r="AA277" s="6">
        <v>2024</v>
      </c>
      <c r="AB277" s="75"/>
      <c r="AC277" s="63"/>
      <c r="AD277" s="64"/>
      <c r="AE277" s="65"/>
    </row>
    <row r="278" spans="1:31" ht="21.6" customHeight="1" x14ac:dyDescent="0.25">
      <c r="A278" s="21" t="s">
        <v>10</v>
      </c>
      <c r="B278" s="21" t="s">
        <v>11</v>
      </c>
      <c r="C278" s="21" t="s">
        <v>12</v>
      </c>
      <c r="D278" s="21" t="s">
        <v>10</v>
      </c>
      <c r="E278" s="21" t="s">
        <v>20</v>
      </c>
      <c r="F278" s="21" t="s">
        <v>10</v>
      </c>
      <c r="G278" s="21" t="s">
        <v>19</v>
      </c>
      <c r="H278" s="21" t="s">
        <v>10</v>
      </c>
      <c r="I278" s="21" t="s">
        <v>18</v>
      </c>
      <c r="J278" s="21" t="s">
        <v>11</v>
      </c>
      <c r="K278" s="21" t="s">
        <v>10</v>
      </c>
      <c r="L278" s="21" t="s">
        <v>12</v>
      </c>
      <c r="M278" s="21" t="s">
        <v>10</v>
      </c>
      <c r="N278" s="21" t="s">
        <v>10</v>
      </c>
      <c r="O278" s="21" t="s">
        <v>10</v>
      </c>
      <c r="P278" s="21" t="s">
        <v>10</v>
      </c>
      <c r="Q278" s="21" t="s">
        <v>10</v>
      </c>
      <c r="R278" s="141" t="s">
        <v>224</v>
      </c>
      <c r="S278" s="144" t="s">
        <v>33</v>
      </c>
      <c r="T278" s="114"/>
      <c r="U278" s="114"/>
      <c r="V278" s="59"/>
      <c r="W278" s="25">
        <f>W279+W280</f>
        <v>6503.7999999999993</v>
      </c>
      <c r="X278" s="59"/>
      <c r="Y278" s="59"/>
      <c r="Z278" s="25">
        <f>Z279+Z280</f>
        <v>6503.7999999999993</v>
      </c>
      <c r="AA278" s="23">
        <v>2024</v>
      </c>
      <c r="AB278" s="129" t="s">
        <v>200</v>
      </c>
    </row>
    <row r="279" spans="1:31" ht="22.9" customHeight="1" x14ac:dyDescent="0.25">
      <c r="A279" s="21" t="s">
        <v>10</v>
      </c>
      <c r="B279" s="21" t="s">
        <v>11</v>
      </c>
      <c r="C279" s="21" t="s">
        <v>12</v>
      </c>
      <c r="D279" s="21" t="s">
        <v>10</v>
      </c>
      <c r="E279" s="21" t="s">
        <v>20</v>
      </c>
      <c r="F279" s="21" t="s">
        <v>10</v>
      </c>
      <c r="G279" s="21" t="s">
        <v>19</v>
      </c>
      <c r="H279" s="21" t="s">
        <v>10</v>
      </c>
      <c r="I279" s="21" t="s">
        <v>18</v>
      </c>
      <c r="J279" s="21" t="s">
        <v>11</v>
      </c>
      <c r="K279" s="21" t="s">
        <v>10</v>
      </c>
      <c r="L279" s="21" t="s">
        <v>12</v>
      </c>
      <c r="M279" s="21" t="s">
        <v>40</v>
      </c>
      <c r="N279" s="21" t="s">
        <v>10</v>
      </c>
      <c r="O279" s="21" t="s">
        <v>11</v>
      </c>
      <c r="P279" s="21" t="s">
        <v>17</v>
      </c>
      <c r="Q279" s="21" t="s">
        <v>11</v>
      </c>
      <c r="R279" s="142"/>
      <c r="S279" s="145"/>
      <c r="T279" s="25"/>
      <c r="U279" s="59"/>
      <c r="V279" s="56"/>
      <c r="W279" s="24">
        <v>650.4</v>
      </c>
      <c r="X279" s="59"/>
      <c r="Y279" s="59"/>
      <c r="Z279" s="25">
        <f>T279+U279+V279+W279+X279+Y279</f>
        <v>650.4</v>
      </c>
      <c r="AA279" s="23">
        <v>2024</v>
      </c>
      <c r="AB279" s="75"/>
    </row>
    <row r="280" spans="1:31" ht="21.6" customHeight="1" x14ac:dyDescent="0.25">
      <c r="A280" s="21" t="s">
        <v>10</v>
      </c>
      <c r="B280" s="21" t="s">
        <v>11</v>
      </c>
      <c r="C280" s="21" t="s">
        <v>12</v>
      </c>
      <c r="D280" s="21" t="s">
        <v>10</v>
      </c>
      <c r="E280" s="21" t="s">
        <v>20</v>
      </c>
      <c r="F280" s="21" t="s">
        <v>10</v>
      </c>
      <c r="G280" s="21" t="s">
        <v>19</v>
      </c>
      <c r="H280" s="21" t="s">
        <v>10</v>
      </c>
      <c r="I280" s="21" t="s">
        <v>18</v>
      </c>
      <c r="J280" s="21" t="s">
        <v>11</v>
      </c>
      <c r="K280" s="21" t="s">
        <v>10</v>
      </c>
      <c r="L280" s="21" t="s">
        <v>12</v>
      </c>
      <c r="M280" s="21" t="s">
        <v>11</v>
      </c>
      <c r="N280" s="21" t="s">
        <v>10</v>
      </c>
      <c r="O280" s="21" t="s">
        <v>11</v>
      </c>
      <c r="P280" s="21" t="s">
        <v>17</v>
      </c>
      <c r="Q280" s="21" t="s">
        <v>11</v>
      </c>
      <c r="R280" s="143"/>
      <c r="S280" s="146"/>
      <c r="T280" s="25"/>
      <c r="U280" s="59"/>
      <c r="V280" s="56"/>
      <c r="W280" s="24">
        <v>5853.4</v>
      </c>
      <c r="X280" s="59"/>
      <c r="Y280" s="59"/>
      <c r="Z280" s="25">
        <f>T280+U280+V280+W280+X280+Y280</f>
        <v>5853.4</v>
      </c>
      <c r="AA280" s="23">
        <v>2024</v>
      </c>
      <c r="AB280" s="75"/>
    </row>
    <row r="281" spans="1:31" s="16" customFormat="1" ht="29.25" x14ac:dyDescent="0.25">
      <c r="A281" s="13"/>
      <c r="B281" s="13"/>
      <c r="C281" s="13"/>
      <c r="D281" s="13"/>
      <c r="E281" s="13"/>
      <c r="F281" s="13"/>
      <c r="G281" s="13"/>
      <c r="H281" s="13"/>
      <c r="I281" s="14"/>
      <c r="J281" s="13"/>
      <c r="K281" s="13"/>
      <c r="L281" s="13"/>
      <c r="M281" s="13"/>
      <c r="N281" s="13"/>
      <c r="O281" s="13"/>
      <c r="P281" s="13"/>
      <c r="Q281" s="13"/>
      <c r="R281" s="12" t="s">
        <v>229</v>
      </c>
      <c r="S281" s="6" t="s">
        <v>2</v>
      </c>
      <c r="T281" s="60"/>
      <c r="U281" s="107"/>
      <c r="V281" s="109"/>
      <c r="W281" s="60">
        <v>1</v>
      </c>
      <c r="X281" s="109"/>
      <c r="Y281" s="109"/>
      <c r="Z281" s="61">
        <f>W281</f>
        <v>1</v>
      </c>
      <c r="AA281" s="6">
        <v>2024</v>
      </c>
      <c r="AB281" s="75"/>
      <c r="AC281" s="63"/>
      <c r="AD281" s="64"/>
      <c r="AE281" s="65"/>
    </row>
    <row r="282" spans="1:31" x14ac:dyDescent="0.25">
      <c r="A282" s="21" t="s">
        <v>10</v>
      </c>
      <c r="B282" s="21" t="s">
        <v>11</v>
      </c>
      <c r="C282" s="21" t="s">
        <v>12</v>
      </c>
      <c r="D282" s="21" t="s">
        <v>10</v>
      </c>
      <c r="E282" s="21" t="s">
        <v>20</v>
      </c>
      <c r="F282" s="21" t="s">
        <v>10</v>
      </c>
      <c r="G282" s="21" t="s">
        <v>19</v>
      </c>
      <c r="H282" s="21" t="s">
        <v>10</v>
      </c>
      <c r="I282" s="21" t="s">
        <v>18</v>
      </c>
      <c r="J282" s="21" t="s">
        <v>11</v>
      </c>
      <c r="K282" s="21" t="s">
        <v>10</v>
      </c>
      <c r="L282" s="21" t="s">
        <v>12</v>
      </c>
      <c r="M282" s="21" t="s">
        <v>10</v>
      </c>
      <c r="N282" s="21" t="s">
        <v>10</v>
      </c>
      <c r="O282" s="21" t="s">
        <v>10</v>
      </c>
      <c r="P282" s="21" t="s">
        <v>10</v>
      </c>
      <c r="Q282" s="21" t="s">
        <v>10</v>
      </c>
      <c r="R282" s="141" t="s">
        <v>225</v>
      </c>
      <c r="S282" s="144" t="s">
        <v>33</v>
      </c>
      <c r="T282" s="114"/>
      <c r="U282" s="114"/>
      <c r="V282" s="59"/>
      <c r="W282" s="25">
        <f>W283+W284</f>
        <v>3623.8</v>
      </c>
      <c r="X282" s="59"/>
      <c r="Y282" s="59"/>
      <c r="Z282" s="25">
        <f>Z283+Z284</f>
        <v>3623.8</v>
      </c>
      <c r="AA282" s="23">
        <v>2024</v>
      </c>
      <c r="AB282" s="129" t="s">
        <v>200</v>
      </c>
    </row>
    <row r="283" spans="1:31" x14ac:dyDescent="0.25">
      <c r="A283" s="21" t="s">
        <v>10</v>
      </c>
      <c r="B283" s="21" t="s">
        <v>11</v>
      </c>
      <c r="C283" s="21" t="s">
        <v>12</v>
      </c>
      <c r="D283" s="21" t="s">
        <v>10</v>
      </c>
      <c r="E283" s="21" t="s">
        <v>20</v>
      </c>
      <c r="F283" s="21" t="s">
        <v>10</v>
      </c>
      <c r="G283" s="21" t="s">
        <v>19</v>
      </c>
      <c r="H283" s="21" t="s">
        <v>10</v>
      </c>
      <c r="I283" s="21" t="s">
        <v>18</v>
      </c>
      <c r="J283" s="21" t="s">
        <v>11</v>
      </c>
      <c r="K283" s="21" t="s">
        <v>10</v>
      </c>
      <c r="L283" s="21" t="s">
        <v>12</v>
      </c>
      <c r="M283" s="21" t="s">
        <v>40</v>
      </c>
      <c r="N283" s="21" t="s">
        <v>10</v>
      </c>
      <c r="O283" s="21" t="s">
        <v>11</v>
      </c>
      <c r="P283" s="21" t="s">
        <v>17</v>
      </c>
      <c r="Q283" s="21" t="s">
        <v>11</v>
      </c>
      <c r="R283" s="142"/>
      <c r="S283" s="145"/>
      <c r="T283" s="25"/>
      <c r="U283" s="59"/>
      <c r="V283" s="56"/>
      <c r="W283" s="24">
        <f>375-12.6</f>
        <v>362.4</v>
      </c>
      <c r="X283" s="59"/>
      <c r="Y283" s="59"/>
      <c r="Z283" s="25">
        <f>T283+U283+V283+W283+X283+Y283</f>
        <v>362.4</v>
      </c>
      <c r="AA283" s="23">
        <v>2024</v>
      </c>
      <c r="AB283" s="75"/>
    </row>
    <row r="284" spans="1:31" x14ac:dyDescent="0.25">
      <c r="A284" s="21" t="s">
        <v>10</v>
      </c>
      <c r="B284" s="21" t="s">
        <v>11</v>
      </c>
      <c r="C284" s="21" t="s">
        <v>12</v>
      </c>
      <c r="D284" s="21" t="s">
        <v>10</v>
      </c>
      <c r="E284" s="21" t="s">
        <v>20</v>
      </c>
      <c r="F284" s="21" t="s">
        <v>10</v>
      </c>
      <c r="G284" s="21" t="s">
        <v>19</v>
      </c>
      <c r="H284" s="21" t="s">
        <v>10</v>
      </c>
      <c r="I284" s="21" t="s">
        <v>18</v>
      </c>
      <c r="J284" s="21" t="s">
        <v>11</v>
      </c>
      <c r="K284" s="21" t="s">
        <v>10</v>
      </c>
      <c r="L284" s="21" t="s">
        <v>12</v>
      </c>
      <c r="M284" s="21" t="s">
        <v>11</v>
      </c>
      <c r="N284" s="21" t="s">
        <v>10</v>
      </c>
      <c r="O284" s="21" t="s">
        <v>11</v>
      </c>
      <c r="P284" s="21" t="s">
        <v>17</v>
      </c>
      <c r="Q284" s="21" t="s">
        <v>11</v>
      </c>
      <c r="R284" s="143"/>
      <c r="S284" s="146"/>
      <c r="T284" s="25"/>
      <c r="U284" s="59"/>
      <c r="V284" s="56"/>
      <c r="W284" s="24">
        <f>3375.5-114.1</f>
        <v>3261.4</v>
      </c>
      <c r="X284" s="59"/>
      <c r="Y284" s="59"/>
      <c r="Z284" s="25">
        <f>T284+U284+V284+W284+X284+Y284</f>
        <v>3261.4</v>
      </c>
      <c r="AA284" s="23">
        <v>2024</v>
      </c>
      <c r="AB284" s="75"/>
    </row>
    <row r="285" spans="1:31" s="16" customFormat="1" ht="29.25" x14ac:dyDescent="0.25">
      <c r="A285" s="13"/>
      <c r="B285" s="13"/>
      <c r="C285" s="13"/>
      <c r="D285" s="13"/>
      <c r="E285" s="13"/>
      <c r="F285" s="13"/>
      <c r="G285" s="13"/>
      <c r="H285" s="13"/>
      <c r="I285" s="14"/>
      <c r="J285" s="13"/>
      <c r="K285" s="13"/>
      <c r="L285" s="13"/>
      <c r="M285" s="13"/>
      <c r="N285" s="13"/>
      <c r="O285" s="13"/>
      <c r="P285" s="13"/>
      <c r="Q285" s="13"/>
      <c r="R285" s="12" t="s">
        <v>226</v>
      </c>
      <c r="S285" s="6" t="s">
        <v>2</v>
      </c>
      <c r="T285" s="60"/>
      <c r="U285" s="107"/>
      <c r="V285" s="109"/>
      <c r="W285" s="60">
        <v>0.22500000000000001</v>
      </c>
      <c r="X285" s="109"/>
      <c r="Y285" s="109"/>
      <c r="Z285" s="61">
        <f>W285</f>
        <v>0.22500000000000001</v>
      </c>
      <c r="AA285" s="6">
        <v>2024</v>
      </c>
      <c r="AB285" s="75"/>
      <c r="AC285" s="63"/>
      <c r="AD285" s="64"/>
      <c r="AE285" s="65"/>
    </row>
    <row r="286" spans="1:31" x14ac:dyDescent="0.25">
      <c r="A286" s="21" t="s">
        <v>10</v>
      </c>
      <c r="B286" s="21" t="s">
        <v>11</v>
      </c>
      <c r="C286" s="21" t="s">
        <v>12</v>
      </c>
      <c r="D286" s="21" t="s">
        <v>10</v>
      </c>
      <c r="E286" s="21" t="s">
        <v>20</v>
      </c>
      <c r="F286" s="21" t="s">
        <v>10</v>
      </c>
      <c r="G286" s="21" t="s">
        <v>19</v>
      </c>
      <c r="H286" s="21" t="s">
        <v>10</v>
      </c>
      <c r="I286" s="21" t="s">
        <v>18</v>
      </c>
      <c r="J286" s="21" t="s">
        <v>11</v>
      </c>
      <c r="K286" s="21" t="s">
        <v>10</v>
      </c>
      <c r="L286" s="21" t="s">
        <v>12</v>
      </c>
      <c r="M286" s="21" t="s">
        <v>10</v>
      </c>
      <c r="N286" s="21" t="s">
        <v>10</v>
      </c>
      <c r="O286" s="21" t="s">
        <v>10</v>
      </c>
      <c r="P286" s="21" t="s">
        <v>10</v>
      </c>
      <c r="Q286" s="21" t="s">
        <v>10</v>
      </c>
      <c r="R286" s="141" t="s">
        <v>227</v>
      </c>
      <c r="S286" s="144" t="s">
        <v>33</v>
      </c>
      <c r="T286" s="114"/>
      <c r="U286" s="114"/>
      <c r="V286" s="59"/>
      <c r="W286" s="25">
        <f>W287+W288</f>
        <v>5387.7999999999984</v>
      </c>
      <c r="X286" s="59"/>
      <c r="Y286" s="59"/>
      <c r="Z286" s="25">
        <f>Z287+Z288</f>
        <v>5387.7999999999984</v>
      </c>
      <c r="AA286" s="23">
        <v>2024</v>
      </c>
      <c r="AB286" s="129" t="s">
        <v>200</v>
      </c>
    </row>
    <row r="287" spans="1:31" x14ac:dyDescent="0.25">
      <c r="A287" s="21" t="s">
        <v>10</v>
      </c>
      <c r="B287" s="21" t="s">
        <v>11</v>
      </c>
      <c r="C287" s="21" t="s">
        <v>12</v>
      </c>
      <c r="D287" s="21" t="s">
        <v>10</v>
      </c>
      <c r="E287" s="21" t="s">
        <v>20</v>
      </c>
      <c r="F287" s="21" t="s">
        <v>10</v>
      </c>
      <c r="G287" s="21" t="s">
        <v>19</v>
      </c>
      <c r="H287" s="21" t="s">
        <v>10</v>
      </c>
      <c r="I287" s="21" t="s">
        <v>18</v>
      </c>
      <c r="J287" s="21" t="s">
        <v>11</v>
      </c>
      <c r="K287" s="21" t="s">
        <v>10</v>
      </c>
      <c r="L287" s="21" t="s">
        <v>12</v>
      </c>
      <c r="M287" s="21" t="s">
        <v>40</v>
      </c>
      <c r="N287" s="21" t="s">
        <v>10</v>
      </c>
      <c r="O287" s="21" t="s">
        <v>11</v>
      </c>
      <c r="P287" s="21" t="s">
        <v>17</v>
      </c>
      <c r="Q287" s="21" t="s">
        <v>11</v>
      </c>
      <c r="R287" s="142"/>
      <c r="S287" s="145"/>
      <c r="T287" s="25"/>
      <c r="U287" s="59"/>
      <c r="V287" s="56"/>
      <c r="W287" s="24">
        <f>3523-2984.3</f>
        <v>538.69999999999982</v>
      </c>
      <c r="X287" s="59"/>
      <c r="Y287" s="59"/>
      <c r="Z287" s="25">
        <f>T287+U287+V287+W287+X287+Y287</f>
        <v>538.69999999999982</v>
      </c>
      <c r="AA287" s="23">
        <v>2024</v>
      </c>
      <c r="AB287" s="99"/>
    </row>
    <row r="288" spans="1:31" x14ac:dyDescent="0.25">
      <c r="A288" s="21" t="s">
        <v>10</v>
      </c>
      <c r="B288" s="21" t="s">
        <v>11</v>
      </c>
      <c r="C288" s="21" t="s">
        <v>12</v>
      </c>
      <c r="D288" s="21" t="s">
        <v>10</v>
      </c>
      <c r="E288" s="21" t="s">
        <v>20</v>
      </c>
      <c r="F288" s="21" t="s">
        <v>10</v>
      </c>
      <c r="G288" s="21" t="s">
        <v>19</v>
      </c>
      <c r="H288" s="21" t="s">
        <v>10</v>
      </c>
      <c r="I288" s="21" t="s">
        <v>18</v>
      </c>
      <c r="J288" s="21" t="s">
        <v>11</v>
      </c>
      <c r="K288" s="21" t="s">
        <v>10</v>
      </c>
      <c r="L288" s="21" t="s">
        <v>12</v>
      </c>
      <c r="M288" s="21" t="s">
        <v>11</v>
      </c>
      <c r="N288" s="21" t="s">
        <v>10</v>
      </c>
      <c r="O288" s="21" t="s">
        <v>11</v>
      </c>
      <c r="P288" s="21" t="s">
        <v>17</v>
      </c>
      <c r="Q288" s="21" t="s">
        <v>11</v>
      </c>
      <c r="R288" s="143"/>
      <c r="S288" s="146"/>
      <c r="T288" s="25"/>
      <c r="U288" s="59"/>
      <c r="V288" s="56"/>
      <c r="W288" s="24">
        <f>31707-26857.9</f>
        <v>4849.0999999999985</v>
      </c>
      <c r="X288" s="59"/>
      <c r="Y288" s="59"/>
      <c r="Z288" s="25">
        <f>T288+U288+V288+W288+X288+Y288</f>
        <v>4849.0999999999985</v>
      </c>
      <c r="AA288" s="23">
        <v>2024</v>
      </c>
      <c r="AB288" s="99"/>
    </row>
    <row r="289" spans="1:31" s="16" customFormat="1" ht="32.25" customHeight="1" x14ac:dyDescent="0.25">
      <c r="A289" s="13"/>
      <c r="B289" s="13"/>
      <c r="C289" s="13"/>
      <c r="D289" s="13"/>
      <c r="E289" s="13"/>
      <c r="F289" s="13"/>
      <c r="G289" s="13"/>
      <c r="H289" s="13"/>
      <c r="I289" s="14"/>
      <c r="J289" s="13"/>
      <c r="K289" s="13"/>
      <c r="L289" s="13"/>
      <c r="M289" s="13"/>
      <c r="N289" s="13"/>
      <c r="O289" s="13"/>
      <c r="P289" s="13"/>
      <c r="Q289" s="13"/>
      <c r="R289" s="138" t="s">
        <v>199</v>
      </c>
      <c r="S289" s="6" t="s">
        <v>39</v>
      </c>
      <c r="T289" s="60"/>
      <c r="U289" s="107"/>
      <c r="V289" s="109"/>
      <c r="W289" s="60">
        <v>0.9</v>
      </c>
      <c r="X289" s="109"/>
      <c r="Y289" s="109"/>
      <c r="Z289" s="61">
        <f>W289</f>
        <v>0.9</v>
      </c>
      <c r="AA289" s="6">
        <v>2024</v>
      </c>
      <c r="AB289" s="75" t="s">
        <v>237</v>
      </c>
      <c r="AC289" s="63"/>
      <c r="AD289" s="64"/>
      <c r="AE289" s="65"/>
    </row>
    <row r="290" spans="1:31" x14ac:dyDescent="0.25">
      <c r="A290" s="21" t="s">
        <v>10</v>
      </c>
      <c r="B290" s="21" t="s">
        <v>11</v>
      </c>
      <c r="C290" s="21" t="s">
        <v>12</v>
      </c>
      <c r="D290" s="21" t="s">
        <v>10</v>
      </c>
      <c r="E290" s="21" t="s">
        <v>20</v>
      </c>
      <c r="F290" s="21" t="s">
        <v>10</v>
      </c>
      <c r="G290" s="21" t="s">
        <v>19</v>
      </c>
      <c r="H290" s="21" t="s">
        <v>10</v>
      </c>
      <c r="I290" s="21" t="s">
        <v>18</v>
      </c>
      <c r="J290" s="21" t="s">
        <v>11</v>
      </c>
      <c r="K290" s="21" t="s">
        <v>10</v>
      </c>
      <c r="L290" s="21" t="s">
        <v>12</v>
      </c>
      <c r="M290" s="21" t="s">
        <v>10</v>
      </c>
      <c r="N290" s="21" t="s">
        <v>10</v>
      </c>
      <c r="O290" s="21" t="s">
        <v>10</v>
      </c>
      <c r="P290" s="21" t="s">
        <v>10</v>
      </c>
      <c r="Q290" s="21" t="s">
        <v>10</v>
      </c>
      <c r="R290" s="141" t="s">
        <v>228</v>
      </c>
      <c r="S290" s="144" t="s">
        <v>33</v>
      </c>
      <c r="T290" s="114"/>
      <c r="U290" s="114"/>
      <c r="V290" s="59"/>
      <c r="W290" s="25">
        <f>W291+W292</f>
        <v>6778.7000000000007</v>
      </c>
      <c r="X290" s="59"/>
      <c r="Y290" s="59"/>
      <c r="Z290" s="25">
        <f>Z291+Z292</f>
        <v>6778.7000000000007</v>
      </c>
      <c r="AA290" s="23">
        <v>2024</v>
      </c>
      <c r="AB290" s="129" t="s">
        <v>200</v>
      </c>
    </row>
    <row r="291" spans="1:31" x14ac:dyDescent="0.25">
      <c r="A291" s="21" t="s">
        <v>10</v>
      </c>
      <c r="B291" s="21" t="s">
        <v>11</v>
      </c>
      <c r="C291" s="21" t="s">
        <v>12</v>
      </c>
      <c r="D291" s="21" t="s">
        <v>10</v>
      </c>
      <c r="E291" s="21" t="s">
        <v>20</v>
      </c>
      <c r="F291" s="21" t="s">
        <v>10</v>
      </c>
      <c r="G291" s="21" t="s">
        <v>19</v>
      </c>
      <c r="H291" s="21" t="s">
        <v>10</v>
      </c>
      <c r="I291" s="21" t="s">
        <v>18</v>
      </c>
      <c r="J291" s="21" t="s">
        <v>11</v>
      </c>
      <c r="K291" s="21" t="s">
        <v>10</v>
      </c>
      <c r="L291" s="21" t="s">
        <v>12</v>
      </c>
      <c r="M291" s="21" t="s">
        <v>40</v>
      </c>
      <c r="N291" s="21" t="s">
        <v>10</v>
      </c>
      <c r="O291" s="21" t="s">
        <v>11</v>
      </c>
      <c r="P291" s="21" t="s">
        <v>17</v>
      </c>
      <c r="Q291" s="21" t="s">
        <v>11</v>
      </c>
      <c r="R291" s="142"/>
      <c r="S291" s="145"/>
      <c r="T291" s="25"/>
      <c r="U291" s="59"/>
      <c r="V291" s="56"/>
      <c r="W291" s="24">
        <f>1582.7-904.9</f>
        <v>677.80000000000007</v>
      </c>
      <c r="X291" s="59"/>
      <c r="Y291" s="59"/>
      <c r="Z291" s="25">
        <f>T291+U291+V291+W291+X291+Y291</f>
        <v>677.80000000000007</v>
      </c>
      <c r="AA291" s="23">
        <v>2024</v>
      </c>
      <c r="AB291" s="75"/>
    </row>
    <row r="292" spans="1:31" x14ac:dyDescent="0.25">
      <c r="A292" s="21" t="s">
        <v>10</v>
      </c>
      <c r="B292" s="21" t="s">
        <v>11</v>
      </c>
      <c r="C292" s="21" t="s">
        <v>12</v>
      </c>
      <c r="D292" s="21" t="s">
        <v>10</v>
      </c>
      <c r="E292" s="21" t="s">
        <v>20</v>
      </c>
      <c r="F292" s="21" t="s">
        <v>10</v>
      </c>
      <c r="G292" s="21" t="s">
        <v>19</v>
      </c>
      <c r="H292" s="21" t="s">
        <v>10</v>
      </c>
      <c r="I292" s="21" t="s">
        <v>18</v>
      </c>
      <c r="J292" s="21" t="s">
        <v>11</v>
      </c>
      <c r="K292" s="21" t="s">
        <v>10</v>
      </c>
      <c r="L292" s="21" t="s">
        <v>12</v>
      </c>
      <c r="M292" s="21" t="s">
        <v>11</v>
      </c>
      <c r="N292" s="21" t="s">
        <v>10</v>
      </c>
      <c r="O292" s="21" t="s">
        <v>11</v>
      </c>
      <c r="P292" s="21" t="s">
        <v>17</v>
      </c>
      <c r="Q292" s="21" t="s">
        <v>11</v>
      </c>
      <c r="R292" s="143"/>
      <c r="S292" s="146"/>
      <c r="T292" s="25"/>
      <c r="U292" s="59"/>
      <c r="V292" s="56"/>
      <c r="W292" s="24">
        <f>14244.7-8143.8</f>
        <v>6100.9000000000005</v>
      </c>
      <c r="X292" s="59"/>
      <c r="Y292" s="59"/>
      <c r="Z292" s="25">
        <f>T292+U292+V292+W292+X292+Y292</f>
        <v>6100.9000000000005</v>
      </c>
      <c r="AA292" s="23">
        <v>2024</v>
      </c>
      <c r="AB292" s="75"/>
    </row>
    <row r="293" spans="1:31" s="16" customFormat="1" ht="33.75" customHeight="1" x14ac:dyDescent="0.25">
      <c r="A293" s="13"/>
      <c r="B293" s="13"/>
      <c r="C293" s="13"/>
      <c r="D293" s="13"/>
      <c r="E293" s="13"/>
      <c r="F293" s="13"/>
      <c r="G293" s="13"/>
      <c r="H293" s="13"/>
      <c r="I293" s="14"/>
      <c r="J293" s="13"/>
      <c r="K293" s="13"/>
      <c r="L293" s="13"/>
      <c r="M293" s="13"/>
      <c r="N293" s="13"/>
      <c r="O293" s="13"/>
      <c r="P293" s="13"/>
      <c r="Q293" s="13"/>
      <c r="R293" s="138" t="s">
        <v>199</v>
      </c>
      <c r="S293" s="6" t="s">
        <v>39</v>
      </c>
      <c r="T293" s="60"/>
      <c r="U293" s="107"/>
      <c r="V293" s="109"/>
      <c r="W293" s="60">
        <v>0.68</v>
      </c>
      <c r="X293" s="109"/>
      <c r="Y293" s="109"/>
      <c r="Z293" s="61">
        <f>W293</f>
        <v>0.68</v>
      </c>
      <c r="AA293" s="6">
        <v>2024</v>
      </c>
      <c r="AB293" s="75"/>
      <c r="AC293" s="63"/>
      <c r="AD293" s="64"/>
      <c r="AE293" s="65"/>
    </row>
    <row r="294" spans="1:31" ht="25.5" customHeight="1" x14ac:dyDescent="0.25">
      <c r="A294" s="21" t="s">
        <v>10</v>
      </c>
      <c r="B294" s="21" t="s">
        <v>11</v>
      </c>
      <c r="C294" s="21" t="s">
        <v>12</v>
      </c>
      <c r="D294" s="21" t="s">
        <v>10</v>
      </c>
      <c r="E294" s="21" t="s">
        <v>20</v>
      </c>
      <c r="F294" s="21" t="s">
        <v>10</v>
      </c>
      <c r="G294" s="21" t="s">
        <v>19</v>
      </c>
      <c r="H294" s="21" t="s">
        <v>10</v>
      </c>
      <c r="I294" s="21" t="s">
        <v>18</v>
      </c>
      <c r="J294" s="21" t="s">
        <v>11</v>
      </c>
      <c r="K294" s="21" t="s">
        <v>10</v>
      </c>
      <c r="L294" s="21" t="s">
        <v>12</v>
      </c>
      <c r="M294" s="21" t="s">
        <v>10</v>
      </c>
      <c r="N294" s="21" t="s">
        <v>10</v>
      </c>
      <c r="O294" s="21" t="s">
        <v>10</v>
      </c>
      <c r="P294" s="21" t="s">
        <v>10</v>
      </c>
      <c r="Q294" s="21" t="s">
        <v>10</v>
      </c>
      <c r="R294" s="141" t="s">
        <v>244</v>
      </c>
      <c r="S294" s="144" t="s">
        <v>33</v>
      </c>
      <c r="T294" s="114"/>
      <c r="U294" s="114"/>
      <c r="V294" s="59"/>
      <c r="W294" s="25">
        <f>W295+W296</f>
        <v>8564.7000000000007</v>
      </c>
      <c r="X294" s="59"/>
      <c r="Y294" s="59"/>
      <c r="Z294" s="25">
        <f>Z295+Z296</f>
        <v>8564.7000000000007</v>
      </c>
      <c r="AA294" s="23">
        <v>2024</v>
      </c>
      <c r="AB294" s="129" t="s">
        <v>200</v>
      </c>
    </row>
    <row r="295" spans="1:31" ht="26.25" customHeight="1" x14ac:dyDescent="0.25">
      <c r="A295" s="21" t="s">
        <v>10</v>
      </c>
      <c r="B295" s="21" t="s">
        <v>11</v>
      </c>
      <c r="C295" s="21" t="s">
        <v>12</v>
      </c>
      <c r="D295" s="21" t="s">
        <v>10</v>
      </c>
      <c r="E295" s="21" t="s">
        <v>20</v>
      </c>
      <c r="F295" s="21" t="s">
        <v>10</v>
      </c>
      <c r="G295" s="21" t="s">
        <v>19</v>
      </c>
      <c r="H295" s="21" t="s">
        <v>10</v>
      </c>
      <c r="I295" s="21" t="s">
        <v>18</v>
      </c>
      <c r="J295" s="21" t="s">
        <v>11</v>
      </c>
      <c r="K295" s="21" t="s">
        <v>10</v>
      </c>
      <c r="L295" s="21" t="s">
        <v>12</v>
      </c>
      <c r="M295" s="21" t="s">
        <v>40</v>
      </c>
      <c r="N295" s="21" t="s">
        <v>10</v>
      </c>
      <c r="O295" s="21" t="s">
        <v>11</v>
      </c>
      <c r="P295" s="21" t="s">
        <v>17</v>
      </c>
      <c r="Q295" s="21" t="s">
        <v>11</v>
      </c>
      <c r="R295" s="142"/>
      <c r="S295" s="145"/>
      <c r="T295" s="25"/>
      <c r="U295" s="59"/>
      <c r="V295" s="56"/>
      <c r="W295" s="24">
        <v>856.5</v>
      </c>
      <c r="X295" s="59"/>
      <c r="Y295" s="59"/>
      <c r="Z295" s="25">
        <f>T295+U295+V295+W295+X295+Y295</f>
        <v>856.5</v>
      </c>
      <c r="AA295" s="23">
        <v>2024</v>
      </c>
      <c r="AB295" s="75"/>
    </row>
    <row r="296" spans="1:31" ht="23.25" customHeight="1" x14ac:dyDescent="0.25">
      <c r="A296" s="21" t="s">
        <v>10</v>
      </c>
      <c r="B296" s="21" t="s">
        <v>11</v>
      </c>
      <c r="C296" s="21" t="s">
        <v>12</v>
      </c>
      <c r="D296" s="21" t="s">
        <v>10</v>
      </c>
      <c r="E296" s="21" t="s">
        <v>20</v>
      </c>
      <c r="F296" s="21" t="s">
        <v>10</v>
      </c>
      <c r="G296" s="21" t="s">
        <v>19</v>
      </c>
      <c r="H296" s="21" t="s">
        <v>10</v>
      </c>
      <c r="I296" s="21" t="s">
        <v>18</v>
      </c>
      <c r="J296" s="21" t="s">
        <v>11</v>
      </c>
      <c r="K296" s="21" t="s">
        <v>10</v>
      </c>
      <c r="L296" s="21" t="s">
        <v>12</v>
      </c>
      <c r="M296" s="21" t="s">
        <v>11</v>
      </c>
      <c r="N296" s="21" t="s">
        <v>10</v>
      </c>
      <c r="O296" s="21" t="s">
        <v>11</v>
      </c>
      <c r="P296" s="21" t="s">
        <v>17</v>
      </c>
      <c r="Q296" s="21" t="s">
        <v>11</v>
      </c>
      <c r="R296" s="143"/>
      <c r="S296" s="146"/>
      <c r="T296" s="25"/>
      <c r="U296" s="59"/>
      <c r="V296" s="56"/>
      <c r="W296" s="24">
        <v>7708.2</v>
      </c>
      <c r="X296" s="59"/>
      <c r="Y296" s="59"/>
      <c r="Z296" s="25">
        <f>T296+U296+V296+W296+X296+Y296</f>
        <v>7708.2</v>
      </c>
      <c r="AA296" s="23">
        <v>2024</v>
      </c>
      <c r="AB296" s="75"/>
    </row>
    <row r="297" spans="1:31" s="16" customFormat="1" ht="38.450000000000003" customHeight="1" x14ac:dyDescent="0.25">
      <c r="A297" s="13"/>
      <c r="B297" s="13"/>
      <c r="C297" s="13"/>
      <c r="D297" s="13"/>
      <c r="E297" s="13"/>
      <c r="F297" s="13"/>
      <c r="G297" s="13"/>
      <c r="H297" s="13"/>
      <c r="I297" s="14"/>
      <c r="J297" s="13"/>
      <c r="K297" s="13"/>
      <c r="L297" s="13"/>
      <c r="M297" s="13"/>
      <c r="N297" s="13"/>
      <c r="O297" s="13"/>
      <c r="P297" s="13"/>
      <c r="Q297" s="13"/>
      <c r="R297" s="12" t="s">
        <v>189</v>
      </c>
      <c r="S297" s="6" t="s">
        <v>2</v>
      </c>
      <c r="T297" s="60"/>
      <c r="U297" s="5"/>
      <c r="V297" s="60"/>
      <c r="W297" s="60">
        <v>0.52</v>
      </c>
      <c r="X297" s="109"/>
      <c r="Y297" s="109"/>
      <c r="Z297" s="61">
        <f>W297</f>
        <v>0.52</v>
      </c>
      <c r="AA297" s="6">
        <v>2024</v>
      </c>
      <c r="AB297" s="75"/>
      <c r="AC297" s="63"/>
      <c r="AD297" s="64"/>
      <c r="AE297" s="65"/>
    </row>
    <row r="298" spans="1:31" ht="21" customHeight="1" x14ac:dyDescent="0.25">
      <c r="A298" s="21" t="s">
        <v>10</v>
      </c>
      <c r="B298" s="21" t="s">
        <v>11</v>
      </c>
      <c r="C298" s="21" t="s">
        <v>12</v>
      </c>
      <c r="D298" s="21" t="s">
        <v>10</v>
      </c>
      <c r="E298" s="21" t="s">
        <v>20</v>
      </c>
      <c r="F298" s="21" t="s">
        <v>10</v>
      </c>
      <c r="G298" s="21" t="s">
        <v>19</v>
      </c>
      <c r="H298" s="21" t="s">
        <v>10</v>
      </c>
      <c r="I298" s="21" t="s">
        <v>18</v>
      </c>
      <c r="J298" s="21" t="s">
        <v>11</v>
      </c>
      <c r="K298" s="21" t="s">
        <v>10</v>
      </c>
      <c r="L298" s="21" t="s">
        <v>12</v>
      </c>
      <c r="M298" s="21" t="s">
        <v>10</v>
      </c>
      <c r="N298" s="21" t="s">
        <v>10</v>
      </c>
      <c r="O298" s="21" t="s">
        <v>10</v>
      </c>
      <c r="P298" s="21" t="s">
        <v>10</v>
      </c>
      <c r="Q298" s="21" t="s">
        <v>10</v>
      </c>
      <c r="R298" s="141" t="s">
        <v>255</v>
      </c>
      <c r="S298" s="144" t="s">
        <v>33</v>
      </c>
      <c r="T298" s="114"/>
      <c r="U298" s="114"/>
      <c r="V298" s="25"/>
      <c r="W298" s="25">
        <f>W299+W300</f>
        <v>6106.3</v>
      </c>
      <c r="X298" s="59"/>
      <c r="Y298" s="59"/>
      <c r="Z298" s="25">
        <f>Z299+Z300</f>
        <v>6106.3</v>
      </c>
      <c r="AA298" s="23">
        <v>2024</v>
      </c>
      <c r="AB298" s="77"/>
    </row>
    <row r="299" spans="1:31" ht="18" customHeight="1" x14ac:dyDescent="0.25">
      <c r="A299" s="21" t="s">
        <v>10</v>
      </c>
      <c r="B299" s="21" t="s">
        <v>11</v>
      </c>
      <c r="C299" s="21" t="s">
        <v>12</v>
      </c>
      <c r="D299" s="21" t="s">
        <v>10</v>
      </c>
      <c r="E299" s="21" t="s">
        <v>20</v>
      </c>
      <c r="F299" s="21" t="s">
        <v>10</v>
      </c>
      <c r="G299" s="21" t="s">
        <v>19</v>
      </c>
      <c r="H299" s="21" t="s">
        <v>10</v>
      </c>
      <c r="I299" s="21" t="s">
        <v>18</v>
      </c>
      <c r="J299" s="21" t="s">
        <v>11</v>
      </c>
      <c r="K299" s="21" t="s">
        <v>10</v>
      </c>
      <c r="L299" s="21" t="s">
        <v>12</v>
      </c>
      <c r="M299" s="21" t="s">
        <v>40</v>
      </c>
      <c r="N299" s="21" t="s">
        <v>10</v>
      </c>
      <c r="O299" s="21" t="s">
        <v>11</v>
      </c>
      <c r="P299" s="21" t="s">
        <v>17</v>
      </c>
      <c r="Q299" s="21" t="s">
        <v>11</v>
      </c>
      <c r="R299" s="142"/>
      <c r="S299" s="145"/>
      <c r="T299" s="25"/>
      <c r="U299" s="59"/>
      <c r="V299" s="24"/>
      <c r="W299" s="24">
        <v>610.70000000000005</v>
      </c>
      <c r="X299" s="59"/>
      <c r="Y299" s="59"/>
      <c r="Z299" s="25">
        <f>T299+U299+V299+W299+X299+Y299</f>
        <v>610.70000000000005</v>
      </c>
      <c r="AA299" s="23">
        <v>2024</v>
      </c>
      <c r="AB299" s="75"/>
    </row>
    <row r="300" spans="1:31" ht="19.5" customHeight="1" x14ac:dyDescent="0.25">
      <c r="A300" s="21" t="s">
        <v>10</v>
      </c>
      <c r="B300" s="21" t="s">
        <v>11</v>
      </c>
      <c r="C300" s="21" t="s">
        <v>12</v>
      </c>
      <c r="D300" s="21" t="s">
        <v>10</v>
      </c>
      <c r="E300" s="21" t="s">
        <v>20</v>
      </c>
      <c r="F300" s="21" t="s">
        <v>10</v>
      </c>
      <c r="G300" s="21" t="s">
        <v>19</v>
      </c>
      <c r="H300" s="21" t="s">
        <v>10</v>
      </c>
      <c r="I300" s="21" t="s">
        <v>18</v>
      </c>
      <c r="J300" s="21" t="s">
        <v>11</v>
      </c>
      <c r="K300" s="21" t="s">
        <v>10</v>
      </c>
      <c r="L300" s="21" t="s">
        <v>12</v>
      </c>
      <c r="M300" s="21" t="s">
        <v>11</v>
      </c>
      <c r="N300" s="21" t="s">
        <v>10</v>
      </c>
      <c r="O300" s="21" t="s">
        <v>11</v>
      </c>
      <c r="P300" s="21" t="s">
        <v>17</v>
      </c>
      <c r="Q300" s="21" t="s">
        <v>11</v>
      </c>
      <c r="R300" s="143"/>
      <c r="S300" s="146"/>
      <c r="T300" s="25"/>
      <c r="U300" s="59"/>
      <c r="V300" s="24"/>
      <c r="W300" s="24">
        <v>5495.6</v>
      </c>
      <c r="X300" s="59"/>
      <c r="Y300" s="59"/>
      <c r="Z300" s="25">
        <f>T300+U300+V300+W300+X300+Y300</f>
        <v>5495.6</v>
      </c>
      <c r="AA300" s="23">
        <v>2024</v>
      </c>
      <c r="AB300" s="75"/>
    </row>
    <row r="301" spans="1:31" s="16" customFormat="1" ht="30" customHeight="1" x14ac:dyDescent="0.25">
      <c r="A301" s="13"/>
      <c r="B301" s="13"/>
      <c r="C301" s="13"/>
      <c r="D301" s="13"/>
      <c r="E301" s="13"/>
      <c r="F301" s="13"/>
      <c r="G301" s="13"/>
      <c r="H301" s="13"/>
      <c r="I301" s="14"/>
      <c r="J301" s="13"/>
      <c r="K301" s="13"/>
      <c r="L301" s="13"/>
      <c r="M301" s="13"/>
      <c r="N301" s="13"/>
      <c r="O301" s="13"/>
      <c r="P301" s="13"/>
      <c r="Q301" s="13"/>
      <c r="R301" s="138" t="s">
        <v>229</v>
      </c>
      <c r="S301" s="6" t="s">
        <v>2</v>
      </c>
      <c r="T301" s="60"/>
      <c r="U301" s="107"/>
      <c r="V301" s="60"/>
      <c r="W301" s="60">
        <v>0.61499999999999999</v>
      </c>
      <c r="X301" s="109"/>
      <c r="Y301" s="109"/>
      <c r="Z301" s="61">
        <f>W301</f>
        <v>0.61499999999999999</v>
      </c>
      <c r="AA301" s="6">
        <v>2024</v>
      </c>
      <c r="AB301" s="75" t="s">
        <v>196</v>
      </c>
      <c r="AC301" s="63"/>
      <c r="AD301" s="64"/>
      <c r="AE301" s="65"/>
    </row>
    <row r="302" spans="1:31" ht="18" customHeight="1" x14ac:dyDescent="0.25">
      <c r="A302" s="21" t="s">
        <v>10</v>
      </c>
      <c r="B302" s="21" t="s">
        <v>11</v>
      </c>
      <c r="C302" s="21" t="s">
        <v>12</v>
      </c>
      <c r="D302" s="21" t="s">
        <v>10</v>
      </c>
      <c r="E302" s="21" t="s">
        <v>20</v>
      </c>
      <c r="F302" s="21" t="s">
        <v>10</v>
      </c>
      <c r="G302" s="21" t="s">
        <v>19</v>
      </c>
      <c r="H302" s="21" t="s">
        <v>10</v>
      </c>
      <c r="I302" s="21" t="s">
        <v>18</v>
      </c>
      <c r="J302" s="21" t="s">
        <v>11</v>
      </c>
      <c r="K302" s="21" t="s">
        <v>10</v>
      </c>
      <c r="L302" s="21" t="s">
        <v>12</v>
      </c>
      <c r="M302" s="21" t="s">
        <v>10</v>
      </c>
      <c r="N302" s="21" t="s">
        <v>10</v>
      </c>
      <c r="O302" s="21" t="s">
        <v>10</v>
      </c>
      <c r="P302" s="21" t="s">
        <v>10</v>
      </c>
      <c r="Q302" s="21" t="s">
        <v>10</v>
      </c>
      <c r="R302" s="141" t="s">
        <v>251</v>
      </c>
      <c r="S302" s="144" t="s">
        <v>33</v>
      </c>
      <c r="T302" s="114"/>
      <c r="U302" s="114"/>
      <c r="V302" s="59"/>
      <c r="W302" s="25">
        <f>W303+W304</f>
        <v>16301.400000000001</v>
      </c>
      <c r="X302" s="59"/>
      <c r="Y302" s="59"/>
      <c r="Z302" s="25">
        <f>Z303+Z304</f>
        <v>16301.400000000001</v>
      </c>
      <c r="AA302" s="23">
        <v>2024</v>
      </c>
      <c r="AB302" s="129" t="s">
        <v>200</v>
      </c>
    </row>
    <row r="303" spans="1:31" ht="19.5" customHeight="1" x14ac:dyDescent="0.25">
      <c r="A303" s="21" t="s">
        <v>10</v>
      </c>
      <c r="B303" s="21" t="s">
        <v>11</v>
      </c>
      <c r="C303" s="21" t="s">
        <v>12</v>
      </c>
      <c r="D303" s="21" t="s">
        <v>10</v>
      </c>
      <c r="E303" s="21" t="s">
        <v>20</v>
      </c>
      <c r="F303" s="21" t="s">
        <v>10</v>
      </c>
      <c r="G303" s="21" t="s">
        <v>19</v>
      </c>
      <c r="H303" s="21" t="s">
        <v>10</v>
      </c>
      <c r="I303" s="21" t="s">
        <v>18</v>
      </c>
      <c r="J303" s="21" t="s">
        <v>11</v>
      </c>
      <c r="K303" s="21" t="s">
        <v>10</v>
      </c>
      <c r="L303" s="21" t="s">
        <v>12</v>
      </c>
      <c r="M303" s="21" t="s">
        <v>40</v>
      </c>
      <c r="N303" s="21" t="s">
        <v>10</v>
      </c>
      <c r="O303" s="21" t="s">
        <v>11</v>
      </c>
      <c r="P303" s="21" t="s">
        <v>17</v>
      </c>
      <c r="Q303" s="21" t="s">
        <v>11</v>
      </c>
      <c r="R303" s="142"/>
      <c r="S303" s="145"/>
      <c r="T303" s="25"/>
      <c r="U303" s="59"/>
      <c r="V303" s="56"/>
      <c r="W303" s="24">
        <v>1630.2</v>
      </c>
      <c r="X303" s="59"/>
      <c r="Y303" s="59"/>
      <c r="Z303" s="25">
        <f>T303+U303+V303+W303+X303+Y303</f>
        <v>1630.2</v>
      </c>
      <c r="AA303" s="23">
        <v>2024</v>
      </c>
      <c r="AB303" s="75"/>
    </row>
    <row r="304" spans="1:31" ht="18" customHeight="1" x14ac:dyDescent="0.25">
      <c r="A304" s="21" t="s">
        <v>10</v>
      </c>
      <c r="B304" s="21" t="s">
        <v>11</v>
      </c>
      <c r="C304" s="21" t="s">
        <v>12</v>
      </c>
      <c r="D304" s="21" t="s">
        <v>10</v>
      </c>
      <c r="E304" s="21" t="s">
        <v>20</v>
      </c>
      <c r="F304" s="21" t="s">
        <v>10</v>
      </c>
      <c r="G304" s="21" t="s">
        <v>19</v>
      </c>
      <c r="H304" s="21" t="s">
        <v>10</v>
      </c>
      <c r="I304" s="21" t="s">
        <v>18</v>
      </c>
      <c r="J304" s="21" t="s">
        <v>11</v>
      </c>
      <c r="K304" s="21" t="s">
        <v>10</v>
      </c>
      <c r="L304" s="21" t="s">
        <v>12</v>
      </c>
      <c r="M304" s="21" t="s">
        <v>11</v>
      </c>
      <c r="N304" s="21" t="s">
        <v>10</v>
      </c>
      <c r="O304" s="21" t="s">
        <v>11</v>
      </c>
      <c r="P304" s="21" t="s">
        <v>17</v>
      </c>
      <c r="Q304" s="21" t="s">
        <v>11</v>
      </c>
      <c r="R304" s="143"/>
      <c r="S304" s="146"/>
      <c r="T304" s="25"/>
      <c r="U304" s="59"/>
      <c r="V304" s="56"/>
      <c r="W304" s="24">
        <v>14671.2</v>
      </c>
      <c r="X304" s="59"/>
      <c r="Y304" s="59"/>
      <c r="Z304" s="25">
        <f>T304+U304+V304+W304+X304+Y304</f>
        <v>14671.2</v>
      </c>
      <c r="AA304" s="23">
        <v>2024</v>
      </c>
      <c r="AB304" s="75"/>
    </row>
    <row r="305" spans="1:31" s="16" customFormat="1" ht="33.6" customHeight="1" x14ac:dyDescent="0.25">
      <c r="A305" s="13"/>
      <c r="B305" s="13"/>
      <c r="C305" s="13"/>
      <c r="D305" s="13"/>
      <c r="E305" s="13"/>
      <c r="F305" s="13"/>
      <c r="G305" s="13"/>
      <c r="H305" s="13"/>
      <c r="I305" s="14"/>
      <c r="J305" s="13"/>
      <c r="K305" s="13"/>
      <c r="L305" s="13"/>
      <c r="M305" s="13"/>
      <c r="N305" s="13"/>
      <c r="O305" s="13"/>
      <c r="P305" s="13"/>
      <c r="Q305" s="13"/>
      <c r="R305" s="12" t="s">
        <v>189</v>
      </c>
      <c r="S305" s="6" t="s">
        <v>2</v>
      </c>
      <c r="T305" s="60"/>
      <c r="U305" s="5"/>
      <c r="V305" s="60"/>
      <c r="W305" s="60">
        <v>0.27200000000000002</v>
      </c>
      <c r="X305" s="109"/>
      <c r="Y305" s="109"/>
      <c r="Z305" s="61">
        <f>W305</f>
        <v>0.27200000000000002</v>
      </c>
      <c r="AA305" s="6">
        <v>2024</v>
      </c>
      <c r="AB305" s="75"/>
      <c r="AC305" s="63"/>
      <c r="AD305" s="64"/>
      <c r="AE305" s="65"/>
    </row>
    <row r="306" spans="1:31" ht="20.25" customHeight="1" x14ac:dyDescent="0.25">
      <c r="A306" s="21" t="s">
        <v>10</v>
      </c>
      <c r="B306" s="21" t="s">
        <v>11</v>
      </c>
      <c r="C306" s="21" t="s">
        <v>12</v>
      </c>
      <c r="D306" s="21" t="s">
        <v>10</v>
      </c>
      <c r="E306" s="21" t="s">
        <v>20</v>
      </c>
      <c r="F306" s="21" t="s">
        <v>10</v>
      </c>
      <c r="G306" s="21" t="s">
        <v>19</v>
      </c>
      <c r="H306" s="21" t="s">
        <v>10</v>
      </c>
      <c r="I306" s="21" t="s">
        <v>18</v>
      </c>
      <c r="J306" s="21" t="s">
        <v>11</v>
      </c>
      <c r="K306" s="21" t="s">
        <v>10</v>
      </c>
      <c r="L306" s="21" t="s">
        <v>12</v>
      </c>
      <c r="M306" s="21" t="s">
        <v>10</v>
      </c>
      <c r="N306" s="21" t="s">
        <v>10</v>
      </c>
      <c r="O306" s="21" t="s">
        <v>10</v>
      </c>
      <c r="P306" s="21" t="s">
        <v>10</v>
      </c>
      <c r="Q306" s="21" t="s">
        <v>10</v>
      </c>
      <c r="R306" s="141" t="s">
        <v>252</v>
      </c>
      <c r="S306" s="144" t="s">
        <v>33</v>
      </c>
      <c r="T306" s="114"/>
      <c r="U306" s="114"/>
      <c r="V306" s="59"/>
      <c r="W306" s="25">
        <f>W307+W308</f>
        <v>3995.9</v>
      </c>
      <c r="X306" s="59"/>
      <c r="Y306" s="59"/>
      <c r="Z306" s="25">
        <f>Z307+Z308</f>
        <v>3995.9</v>
      </c>
      <c r="AA306" s="23">
        <v>2024</v>
      </c>
      <c r="AB306" s="129" t="s">
        <v>200</v>
      </c>
    </row>
    <row r="307" spans="1:31" ht="20.25" customHeight="1" x14ac:dyDescent="0.25">
      <c r="A307" s="21" t="s">
        <v>10</v>
      </c>
      <c r="B307" s="21" t="s">
        <v>11</v>
      </c>
      <c r="C307" s="21" t="s">
        <v>12</v>
      </c>
      <c r="D307" s="21" t="s">
        <v>10</v>
      </c>
      <c r="E307" s="21" t="s">
        <v>20</v>
      </c>
      <c r="F307" s="21" t="s">
        <v>10</v>
      </c>
      <c r="G307" s="21" t="s">
        <v>19</v>
      </c>
      <c r="H307" s="21" t="s">
        <v>10</v>
      </c>
      <c r="I307" s="21" t="s">
        <v>18</v>
      </c>
      <c r="J307" s="21" t="s">
        <v>11</v>
      </c>
      <c r="K307" s="21" t="s">
        <v>10</v>
      </c>
      <c r="L307" s="21" t="s">
        <v>12</v>
      </c>
      <c r="M307" s="21" t="s">
        <v>40</v>
      </c>
      <c r="N307" s="21" t="s">
        <v>10</v>
      </c>
      <c r="O307" s="21" t="s">
        <v>11</v>
      </c>
      <c r="P307" s="21" t="s">
        <v>17</v>
      </c>
      <c r="Q307" s="21" t="s">
        <v>11</v>
      </c>
      <c r="R307" s="142"/>
      <c r="S307" s="145"/>
      <c r="T307" s="25"/>
      <c r="U307" s="59"/>
      <c r="V307" s="56"/>
      <c r="W307" s="24">
        <v>399.6</v>
      </c>
      <c r="X307" s="59"/>
      <c r="Y307" s="59"/>
      <c r="Z307" s="25">
        <f>T307+U307+V307+W307+X307+Y307</f>
        <v>399.6</v>
      </c>
      <c r="AA307" s="23">
        <v>2024</v>
      </c>
      <c r="AB307" s="75"/>
    </row>
    <row r="308" spans="1:31" ht="16.5" customHeight="1" x14ac:dyDescent="0.25">
      <c r="A308" s="21" t="s">
        <v>10</v>
      </c>
      <c r="B308" s="21" t="s">
        <v>11</v>
      </c>
      <c r="C308" s="21" t="s">
        <v>12</v>
      </c>
      <c r="D308" s="21" t="s">
        <v>10</v>
      </c>
      <c r="E308" s="21" t="s">
        <v>20</v>
      </c>
      <c r="F308" s="21" t="s">
        <v>10</v>
      </c>
      <c r="G308" s="21" t="s">
        <v>19</v>
      </c>
      <c r="H308" s="21" t="s">
        <v>10</v>
      </c>
      <c r="I308" s="21" t="s">
        <v>18</v>
      </c>
      <c r="J308" s="21" t="s">
        <v>11</v>
      </c>
      <c r="K308" s="21" t="s">
        <v>10</v>
      </c>
      <c r="L308" s="21" t="s">
        <v>12</v>
      </c>
      <c r="M308" s="21" t="s">
        <v>11</v>
      </c>
      <c r="N308" s="21" t="s">
        <v>10</v>
      </c>
      <c r="O308" s="21" t="s">
        <v>11</v>
      </c>
      <c r="P308" s="21" t="s">
        <v>17</v>
      </c>
      <c r="Q308" s="21" t="s">
        <v>11</v>
      </c>
      <c r="R308" s="143"/>
      <c r="S308" s="146"/>
      <c r="T308" s="25"/>
      <c r="U308" s="59"/>
      <c r="V308" s="56"/>
      <c r="W308" s="24">
        <v>3596.3</v>
      </c>
      <c r="X308" s="59"/>
      <c r="Y308" s="59"/>
      <c r="Z308" s="25">
        <f>T308+U308+V308+W308+X308+Y308</f>
        <v>3596.3</v>
      </c>
      <c r="AA308" s="23">
        <v>2024</v>
      </c>
      <c r="AB308" s="75"/>
    </row>
    <row r="309" spans="1:31" s="16" customFormat="1" ht="36" customHeight="1" x14ac:dyDescent="0.25">
      <c r="A309" s="13"/>
      <c r="B309" s="13"/>
      <c r="C309" s="13"/>
      <c r="D309" s="13"/>
      <c r="E309" s="13"/>
      <c r="F309" s="13"/>
      <c r="G309" s="13"/>
      <c r="H309" s="13"/>
      <c r="I309" s="14"/>
      <c r="J309" s="13"/>
      <c r="K309" s="13"/>
      <c r="L309" s="13"/>
      <c r="M309" s="13"/>
      <c r="N309" s="13"/>
      <c r="O309" s="13"/>
      <c r="P309" s="13"/>
      <c r="Q309" s="13"/>
      <c r="R309" s="12" t="s">
        <v>189</v>
      </c>
      <c r="S309" s="6" t="s">
        <v>2</v>
      </c>
      <c r="T309" s="60"/>
      <c r="U309" s="5"/>
      <c r="V309" s="60"/>
      <c r="W309" s="60">
        <v>0.16</v>
      </c>
      <c r="X309" s="109"/>
      <c r="Y309" s="109"/>
      <c r="Z309" s="61">
        <f>W309</f>
        <v>0.16</v>
      </c>
      <c r="AA309" s="6">
        <v>2024</v>
      </c>
      <c r="AB309" s="75"/>
      <c r="AC309" s="63"/>
      <c r="AD309" s="64"/>
      <c r="AE309" s="65"/>
    </row>
    <row r="310" spans="1:31" ht="20.25" customHeight="1" x14ac:dyDescent="0.25">
      <c r="A310" s="21" t="s">
        <v>10</v>
      </c>
      <c r="B310" s="21" t="s">
        <v>11</v>
      </c>
      <c r="C310" s="21" t="s">
        <v>12</v>
      </c>
      <c r="D310" s="21" t="s">
        <v>10</v>
      </c>
      <c r="E310" s="21" t="s">
        <v>20</v>
      </c>
      <c r="F310" s="21" t="s">
        <v>10</v>
      </c>
      <c r="G310" s="21" t="s">
        <v>19</v>
      </c>
      <c r="H310" s="21" t="s">
        <v>10</v>
      </c>
      <c r="I310" s="21" t="s">
        <v>18</v>
      </c>
      <c r="J310" s="21" t="s">
        <v>11</v>
      </c>
      <c r="K310" s="21" t="s">
        <v>10</v>
      </c>
      <c r="L310" s="21" t="s">
        <v>12</v>
      </c>
      <c r="M310" s="21" t="s">
        <v>10</v>
      </c>
      <c r="N310" s="21" t="s">
        <v>10</v>
      </c>
      <c r="O310" s="21" t="s">
        <v>10</v>
      </c>
      <c r="P310" s="21" t="s">
        <v>10</v>
      </c>
      <c r="Q310" s="21" t="s">
        <v>10</v>
      </c>
      <c r="R310" s="141" t="s">
        <v>253</v>
      </c>
      <c r="S310" s="144" t="s">
        <v>33</v>
      </c>
      <c r="T310" s="114"/>
      <c r="U310" s="114"/>
      <c r="V310" s="59"/>
      <c r="W310" s="25">
        <f>W311+W312</f>
        <v>9544.9</v>
      </c>
      <c r="X310" s="25">
        <f>X311+X312</f>
        <v>28250</v>
      </c>
      <c r="Y310" s="59"/>
      <c r="Z310" s="25">
        <f>Z311+Z312</f>
        <v>37794.9</v>
      </c>
      <c r="AA310" s="23">
        <v>2025</v>
      </c>
      <c r="AB310" s="129" t="s">
        <v>200</v>
      </c>
    </row>
    <row r="311" spans="1:31" ht="18.75" customHeight="1" x14ac:dyDescent="0.25">
      <c r="A311" s="21" t="s">
        <v>10</v>
      </c>
      <c r="B311" s="21" t="s">
        <v>11</v>
      </c>
      <c r="C311" s="21" t="s">
        <v>12</v>
      </c>
      <c r="D311" s="21" t="s">
        <v>10</v>
      </c>
      <c r="E311" s="21" t="s">
        <v>20</v>
      </c>
      <c r="F311" s="21" t="s">
        <v>10</v>
      </c>
      <c r="G311" s="21" t="s">
        <v>19</v>
      </c>
      <c r="H311" s="21" t="s">
        <v>10</v>
      </c>
      <c r="I311" s="21" t="s">
        <v>18</v>
      </c>
      <c r="J311" s="21" t="s">
        <v>11</v>
      </c>
      <c r="K311" s="21" t="s">
        <v>10</v>
      </c>
      <c r="L311" s="21" t="s">
        <v>12</v>
      </c>
      <c r="M311" s="21" t="s">
        <v>40</v>
      </c>
      <c r="N311" s="21" t="s">
        <v>10</v>
      </c>
      <c r="O311" s="21" t="s">
        <v>11</v>
      </c>
      <c r="P311" s="21" t="s">
        <v>17</v>
      </c>
      <c r="Q311" s="21" t="s">
        <v>11</v>
      </c>
      <c r="R311" s="142"/>
      <c r="S311" s="145"/>
      <c r="T311" s="25"/>
      <c r="U311" s="59"/>
      <c r="V311" s="56"/>
      <c r="W311" s="24">
        <v>954.5</v>
      </c>
      <c r="X311" s="24">
        <v>2825</v>
      </c>
      <c r="Y311" s="59"/>
      <c r="Z311" s="25">
        <f>T311+U311+V311+W311+X311+Y311</f>
        <v>3779.5</v>
      </c>
      <c r="AA311" s="23">
        <v>2025</v>
      </c>
      <c r="AB311" s="75"/>
    </row>
    <row r="312" spans="1:31" ht="18.75" customHeight="1" x14ac:dyDescent="0.25">
      <c r="A312" s="21" t="s">
        <v>10</v>
      </c>
      <c r="B312" s="21" t="s">
        <v>11</v>
      </c>
      <c r="C312" s="21" t="s">
        <v>12</v>
      </c>
      <c r="D312" s="21" t="s">
        <v>10</v>
      </c>
      <c r="E312" s="21" t="s">
        <v>20</v>
      </c>
      <c r="F312" s="21" t="s">
        <v>10</v>
      </c>
      <c r="G312" s="21" t="s">
        <v>19</v>
      </c>
      <c r="H312" s="21" t="s">
        <v>10</v>
      </c>
      <c r="I312" s="21" t="s">
        <v>18</v>
      </c>
      <c r="J312" s="21" t="s">
        <v>11</v>
      </c>
      <c r="K312" s="21" t="s">
        <v>10</v>
      </c>
      <c r="L312" s="21" t="s">
        <v>12</v>
      </c>
      <c r="M312" s="21" t="s">
        <v>11</v>
      </c>
      <c r="N312" s="21" t="s">
        <v>10</v>
      </c>
      <c r="O312" s="21" t="s">
        <v>11</v>
      </c>
      <c r="P312" s="21" t="s">
        <v>17</v>
      </c>
      <c r="Q312" s="21" t="s">
        <v>11</v>
      </c>
      <c r="R312" s="143"/>
      <c r="S312" s="146"/>
      <c r="T312" s="25"/>
      <c r="U312" s="59"/>
      <c r="V312" s="56"/>
      <c r="W312" s="24">
        <v>8590.4</v>
      </c>
      <c r="X312" s="24">
        <v>25425</v>
      </c>
      <c r="Y312" s="59"/>
      <c r="Z312" s="25">
        <f>T312+U312+V312+W312+X312+Y312</f>
        <v>34015.4</v>
      </c>
      <c r="AA312" s="23">
        <v>2025</v>
      </c>
      <c r="AB312" s="75"/>
    </row>
    <row r="313" spans="1:31" s="16" customFormat="1" ht="30.75" customHeight="1" x14ac:dyDescent="0.25">
      <c r="A313" s="13"/>
      <c r="B313" s="13"/>
      <c r="C313" s="13"/>
      <c r="D313" s="13"/>
      <c r="E313" s="13"/>
      <c r="F313" s="13"/>
      <c r="G313" s="13"/>
      <c r="H313" s="13"/>
      <c r="I313" s="14"/>
      <c r="J313" s="13"/>
      <c r="K313" s="13"/>
      <c r="L313" s="13"/>
      <c r="M313" s="13"/>
      <c r="N313" s="13"/>
      <c r="O313" s="13"/>
      <c r="P313" s="13"/>
      <c r="Q313" s="13"/>
      <c r="R313" s="138" t="s">
        <v>199</v>
      </c>
      <c r="S313" s="6" t="s">
        <v>39</v>
      </c>
      <c r="T313" s="60"/>
      <c r="U313" s="5"/>
      <c r="V313" s="60"/>
      <c r="W313" s="137"/>
      <c r="X313" s="60">
        <v>5.3179999999999996</v>
      </c>
      <c r="Y313" s="109"/>
      <c r="Z313" s="61">
        <f>X313</f>
        <v>5.3179999999999996</v>
      </c>
      <c r="AA313" s="6">
        <v>2025</v>
      </c>
      <c r="AB313" s="75"/>
      <c r="AC313" s="63"/>
      <c r="AD313" s="64"/>
      <c r="AE313" s="65"/>
    </row>
    <row r="314" spans="1:31" s="1" customFormat="1" ht="30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25" t="s">
        <v>176</v>
      </c>
      <c r="S314" s="58" t="s">
        <v>1</v>
      </c>
      <c r="T314" s="5"/>
      <c r="U314" s="5"/>
      <c r="V314" s="5"/>
      <c r="W314" s="5">
        <f>W310/Z310*100</f>
        <v>25.254465549584733</v>
      </c>
      <c r="X314" s="5">
        <f>X310/Z310*100</f>
        <v>74.745534450415263</v>
      </c>
      <c r="Y314" s="107"/>
      <c r="Z314" s="3">
        <f>W314+X314</f>
        <v>100</v>
      </c>
      <c r="AA314" s="6">
        <v>2025</v>
      </c>
      <c r="AB314" s="130"/>
      <c r="AC314" s="17"/>
      <c r="AD314" s="17"/>
    </row>
    <row r="315" spans="1:31" ht="25.5" customHeight="1" x14ac:dyDescent="0.25">
      <c r="A315" s="21" t="s">
        <v>10</v>
      </c>
      <c r="B315" s="21" t="s">
        <v>11</v>
      </c>
      <c r="C315" s="21" t="s">
        <v>12</v>
      </c>
      <c r="D315" s="21" t="s">
        <v>10</v>
      </c>
      <c r="E315" s="21" t="s">
        <v>20</v>
      </c>
      <c r="F315" s="21" t="s">
        <v>10</v>
      </c>
      <c r="G315" s="21" t="s">
        <v>19</v>
      </c>
      <c r="H315" s="21" t="s">
        <v>10</v>
      </c>
      <c r="I315" s="21" t="s">
        <v>18</v>
      </c>
      <c r="J315" s="21" t="s">
        <v>11</v>
      </c>
      <c r="K315" s="21" t="s">
        <v>10</v>
      </c>
      <c r="L315" s="21" t="s">
        <v>12</v>
      </c>
      <c r="M315" s="21" t="s">
        <v>10</v>
      </c>
      <c r="N315" s="21" t="s">
        <v>10</v>
      </c>
      <c r="O315" s="21" t="s">
        <v>10</v>
      </c>
      <c r="P315" s="21" t="s">
        <v>10</v>
      </c>
      <c r="Q315" s="21" t="s">
        <v>10</v>
      </c>
      <c r="R315" s="141" t="s">
        <v>254</v>
      </c>
      <c r="S315" s="144" t="s">
        <v>33</v>
      </c>
      <c r="T315" s="114"/>
      <c r="U315" s="114"/>
      <c r="V315" s="59"/>
      <c r="W315" s="25"/>
      <c r="X315" s="25">
        <f>X316+X317</f>
        <v>29417.7</v>
      </c>
      <c r="Y315" s="59"/>
      <c r="Z315" s="25">
        <f>Z316+Z317</f>
        <v>29417.7</v>
      </c>
      <c r="AA315" s="23">
        <v>2025</v>
      </c>
      <c r="AB315" s="129" t="s">
        <v>200</v>
      </c>
    </row>
    <row r="316" spans="1:31" ht="26.25" customHeight="1" x14ac:dyDescent="0.25">
      <c r="A316" s="21" t="s">
        <v>10</v>
      </c>
      <c r="B316" s="21" t="s">
        <v>11</v>
      </c>
      <c r="C316" s="21" t="s">
        <v>12</v>
      </c>
      <c r="D316" s="21" t="s">
        <v>10</v>
      </c>
      <c r="E316" s="21" t="s">
        <v>20</v>
      </c>
      <c r="F316" s="21" t="s">
        <v>10</v>
      </c>
      <c r="G316" s="21" t="s">
        <v>19</v>
      </c>
      <c r="H316" s="21" t="s">
        <v>10</v>
      </c>
      <c r="I316" s="21" t="s">
        <v>18</v>
      </c>
      <c r="J316" s="21" t="s">
        <v>11</v>
      </c>
      <c r="K316" s="21" t="s">
        <v>10</v>
      </c>
      <c r="L316" s="21" t="s">
        <v>12</v>
      </c>
      <c r="M316" s="21" t="s">
        <v>40</v>
      </c>
      <c r="N316" s="21" t="s">
        <v>10</v>
      </c>
      <c r="O316" s="21" t="s">
        <v>11</v>
      </c>
      <c r="P316" s="21" t="s">
        <v>17</v>
      </c>
      <c r="Q316" s="21" t="s">
        <v>11</v>
      </c>
      <c r="R316" s="142"/>
      <c r="S316" s="145"/>
      <c r="T316" s="25"/>
      <c r="U316" s="59"/>
      <c r="V316" s="56"/>
      <c r="W316" s="24"/>
      <c r="X316" s="24">
        <v>2941.8</v>
      </c>
      <c r="Y316" s="59"/>
      <c r="Z316" s="25">
        <f>T316+U316+V316+W316+X316+Y316</f>
        <v>2941.8</v>
      </c>
      <c r="AA316" s="23">
        <v>2025</v>
      </c>
      <c r="AB316" s="75"/>
    </row>
    <row r="317" spans="1:31" ht="23.25" customHeight="1" x14ac:dyDescent="0.25">
      <c r="A317" s="21" t="s">
        <v>10</v>
      </c>
      <c r="B317" s="21" t="s">
        <v>11</v>
      </c>
      <c r="C317" s="21" t="s">
        <v>12</v>
      </c>
      <c r="D317" s="21" t="s">
        <v>10</v>
      </c>
      <c r="E317" s="21" t="s">
        <v>20</v>
      </c>
      <c r="F317" s="21" t="s">
        <v>10</v>
      </c>
      <c r="G317" s="21" t="s">
        <v>19</v>
      </c>
      <c r="H317" s="21" t="s">
        <v>10</v>
      </c>
      <c r="I317" s="21" t="s">
        <v>18</v>
      </c>
      <c r="J317" s="21" t="s">
        <v>11</v>
      </c>
      <c r="K317" s="21" t="s">
        <v>10</v>
      </c>
      <c r="L317" s="21" t="s">
        <v>12</v>
      </c>
      <c r="M317" s="21" t="s">
        <v>11</v>
      </c>
      <c r="N317" s="21" t="s">
        <v>10</v>
      </c>
      <c r="O317" s="21" t="s">
        <v>11</v>
      </c>
      <c r="P317" s="21" t="s">
        <v>17</v>
      </c>
      <c r="Q317" s="21" t="s">
        <v>11</v>
      </c>
      <c r="R317" s="143"/>
      <c r="S317" s="146"/>
      <c r="T317" s="25"/>
      <c r="U317" s="59"/>
      <c r="V317" s="56"/>
      <c r="W317" s="24"/>
      <c r="X317" s="24">
        <v>26475.9</v>
      </c>
      <c r="Y317" s="59"/>
      <c r="Z317" s="25">
        <f>T317+U317+V317+W317+X317+Y317</f>
        <v>26475.9</v>
      </c>
      <c r="AA317" s="23">
        <v>2025</v>
      </c>
      <c r="AB317" s="75"/>
    </row>
    <row r="318" spans="1:31" s="16" customFormat="1" ht="36" customHeight="1" x14ac:dyDescent="0.25">
      <c r="A318" s="13"/>
      <c r="B318" s="13"/>
      <c r="C318" s="13"/>
      <c r="D318" s="13"/>
      <c r="E318" s="13"/>
      <c r="F318" s="13"/>
      <c r="G318" s="13"/>
      <c r="H318" s="13"/>
      <c r="I318" s="14"/>
      <c r="J318" s="13"/>
      <c r="K318" s="13"/>
      <c r="L318" s="13"/>
      <c r="M318" s="13"/>
      <c r="N318" s="13"/>
      <c r="O318" s="13"/>
      <c r="P318" s="13"/>
      <c r="Q318" s="13"/>
      <c r="R318" s="12" t="s">
        <v>189</v>
      </c>
      <c r="S318" s="6" t="s">
        <v>2</v>
      </c>
      <c r="T318" s="60"/>
      <c r="U318" s="5"/>
      <c r="V318" s="60"/>
      <c r="W318" s="60"/>
      <c r="X318" s="60">
        <v>0.67600000000000005</v>
      </c>
      <c r="Y318" s="109"/>
      <c r="Z318" s="61">
        <f>X318</f>
        <v>0.67600000000000005</v>
      </c>
      <c r="AA318" s="6">
        <v>2025</v>
      </c>
      <c r="AB318" s="75"/>
      <c r="AC318" s="63"/>
      <c r="AD318" s="64"/>
      <c r="AE318" s="65"/>
    </row>
    <row r="319" spans="1:31" ht="42.75" x14ac:dyDescent="0.25">
      <c r="A319" s="39"/>
      <c r="B319" s="39"/>
      <c r="C319" s="39"/>
      <c r="D319" s="39" t="s">
        <v>10</v>
      </c>
      <c r="E319" s="39" t="s">
        <v>20</v>
      </c>
      <c r="F319" s="39" t="s">
        <v>10</v>
      </c>
      <c r="G319" s="39" t="s">
        <v>19</v>
      </c>
      <c r="H319" s="39" t="s">
        <v>10</v>
      </c>
      <c r="I319" s="39" t="s">
        <v>18</v>
      </c>
      <c r="J319" s="39" t="s">
        <v>11</v>
      </c>
      <c r="K319" s="39" t="s">
        <v>10</v>
      </c>
      <c r="L319" s="39" t="s">
        <v>21</v>
      </c>
      <c r="M319" s="39" t="s">
        <v>10</v>
      </c>
      <c r="N319" s="39" t="s">
        <v>10</v>
      </c>
      <c r="O319" s="39" t="s">
        <v>10</v>
      </c>
      <c r="P319" s="39" t="s">
        <v>10</v>
      </c>
      <c r="Q319" s="39" t="s">
        <v>10</v>
      </c>
      <c r="R319" s="40" t="s">
        <v>23</v>
      </c>
      <c r="S319" s="41" t="s">
        <v>33</v>
      </c>
      <c r="T319" s="42">
        <f>T322+T328+T332+T348+T350+T352+T356+T360</f>
        <v>710851.19999999984</v>
      </c>
      <c r="U319" s="42">
        <f>U322+U328+U332+U348+U350+U352+U356+U360+U362</f>
        <v>858214.6</v>
      </c>
      <c r="V319" s="42">
        <f>V322+V328+V332+V348+V350+V352+V356+V360+V362</f>
        <v>1008087.4999999999</v>
      </c>
      <c r="W319" s="42">
        <f>W322+W328+W332+W348+W350+W352+W356+W360+W365</f>
        <v>854049.39999999991</v>
      </c>
      <c r="X319" s="42">
        <f>X322+X328+X332+X348+X350+X352+X356+X360</f>
        <v>727647</v>
      </c>
      <c r="Y319" s="42">
        <f>Y322+Y328+Y332+Y348+Y350+Y352+Y356+Y360</f>
        <v>818545.20000000007</v>
      </c>
      <c r="Z319" s="42">
        <f>T319+U319+V319+W319+X319+Y319</f>
        <v>4977394.8999999994</v>
      </c>
      <c r="AA319" s="41">
        <v>2026</v>
      </c>
      <c r="AB319" s="87"/>
    </row>
    <row r="320" spans="1:31" ht="44.25" x14ac:dyDescent="0.25">
      <c r="A320" s="13"/>
      <c r="B320" s="13"/>
      <c r="C320" s="13"/>
      <c r="D320" s="13"/>
      <c r="E320" s="13"/>
      <c r="F320" s="13"/>
      <c r="G320" s="13"/>
      <c r="H320" s="13"/>
      <c r="I320" s="14"/>
      <c r="J320" s="13"/>
      <c r="K320" s="13"/>
      <c r="L320" s="13"/>
      <c r="M320" s="13"/>
      <c r="N320" s="13"/>
      <c r="O320" s="13"/>
      <c r="P320" s="13"/>
      <c r="Q320" s="13"/>
      <c r="R320" s="12" t="s">
        <v>72</v>
      </c>
      <c r="S320" s="6" t="s">
        <v>34</v>
      </c>
      <c r="T320" s="5">
        <f>T323</f>
        <v>7130.4</v>
      </c>
      <c r="U320" s="5">
        <f t="shared" ref="U320:Z320" si="25">U323</f>
        <v>7130.4</v>
      </c>
      <c r="V320" s="5">
        <f t="shared" si="25"/>
        <v>7182.5</v>
      </c>
      <c r="W320" s="5">
        <f t="shared" si="25"/>
        <v>7182.5</v>
      </c>
      <c r="X320" s="5">
        <f t="shared" si="25"/>
        <v>7182.5</v>
      </c>
      <c r="Y320" s="5">
        <f t="shared" si="25"/>
        <v>7182.5</v>
      </c>
      <c r="Z320" s="3">
        <f t="shared" si="25"/>
        <v>7182.5</v>
      </c>
      <c r="AA320" s="6">
        <v>2026</v>
      </c>
    </row>
    <row r="321" spans="1:30" ht="60" x14ac:dyDescent="0.25">
      <c r="A321" s="13"/>
      <c r="B321" s="13"/>
      <c r="C321" s="13"/>
      <c r="D321" s="13"/>
      <c r="E321" s="13"/>
      <c r="F321" s="13"/>
      <c r="G321" s="13"/>
      <c r="H321" s="13"/>
      <c r="I321" s="14"/>
      <c r="J321" s="13"/>
      <c r="K321" s="13"/>
      <c r="L321" s="13"/>
      <c r="M321" s="13"/>
      <c r="N321" s="13"/>
      <c r="O321" s="13"/>
      <c r="P321" s="13"/>
      <c r="Q321" s="13"/>
      <c r="R321" s="7" t="s">
        <v>73</v>
      </c>
      <c r="S321" s="6" t="s">
        <v>31</v>
      </c>
      <c r="T321" s="9">
        <f>T325</f>
        <v>2600</v>
      </c>
      <c r="U321" s="9">
        <f t="shared" ref="U321:Z321" si="26">U325</f>
        <v>2600</v>
      </c>
      <c r="V321" s="9">
        <f t="shared" si="26"/>
        <v>1908</v>
      </c>
      <c r="W321" s="9">
        <f t="shared" si="26"/>
        <v>2000</v>
      </c>
      <c r="X321" s="9">
        <f t="shared" si="26"/>
        <v>2000</v>
      </c>
      <c r="Y321" s="9">
        <f t="shared" si="26"/>
        <v>2000</v>
      </c>
      <c r="Z321" s="4">
        <f t="shared" si="26"/>
        <v>13108</v>
      </c>
      <c r="AA321" s="6">
        <v>2026</v>
      </c>
    </row>
    <row r="322" spans="1:30" ht="45" x14ac:dyDescent="0.25">
      <c r="A322" s="21" t="s">
        <v>10</v>
      </c>
      <c r="B322" s="21" t="s">
        <v>11</v>
      </c>
      <c r="C322" s="21" t="s">
        <v>12</v>
      </c>
      <c r="D322" s="21" t="s">
        <v>10</v>
      </c>
      <c r="E322" s="21" t="s">
        <v>20</v>
      </c>
      <c r="F322" s="21" t="s">
        <v>10</v>
      </c>
      <c r="G322" s="21" t="s">
        <v>19</v>
      </c>
      <c r="H322" s="21" t="s">
        <v>10</v>
      </c>
      <c r="I322" s="21" t="s">
        <v>18</v>
      </c>
      <c r="J322" s="21" t="s">
        <v>11</v>
      </c>
      <c r="K322" s="21" t="s">
        <v>10</v>
      </c>
      <c r="L322" s="21" t="s">
        <v>21</v>
      </c>
      <c r="M322" s="21" t="s">
        <v>19</v>
      </c>
      <c r="N322" s="21" t="s">
        <v>19</v>
      </c>
      <c r="O322" s="21" t="s">
        <v>19</v>
      </c>
      <c r="P322" s="21" t="s">
        <v>19</v>
      </c>
      <c r="Q322" s="21" t="s">
        <v>19</v>
      </c>
      <c r="R322" s="22" t="s">
        <v>62</v>
      </c>
      <c r="S322" s="23" t="s">
        <v>33</v>
      </c>
      <c r="T322" s="25">
        <f>415228.6-50+36874.2-20000-500+4234.8-7000-500-1000+3600+40000+12946.9+65761.3+29319.2+28248.7-99.7</f>
        <v>607064</v>
      </c>
      <c r="U322" s="25">
        <f>536686.2-669.4-44306.5+61486.8+10000+5763+107208.5</f>
        <v>676168.6</v>
      </c>
      <c r="V322" s="25">
        <v>809887.7</v>
      </c>
      <c r="W322" s="25">
        <f>723265.2-21184.7-263</f>
        <v>701817.5</v>
      </c>
      <c r="X322" s="25">
        <f>660162.3+500</f>
        <v>660662.30000000005</v>
      </c>
      <c r="Y322" s="25">
        <f>660162.3+500</f>
        <v>660662.30000000005</v>
      </c>
      <c r="Z322" s="25">
        <f>T322+U322+V322+W322+X322+Y322</f>
        <v>4116262.3999999994</v>
      </c>
      <c r="AA322" s="23">
        <v>2026</v>
      </c>
    </row>
    <row r="323" spans="1:30" ht="45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7" t="s">
        <v>63</v>
      </c>
      <c r="S323" s="6" t="s">
        <v>39</v>
      </c>
      <c r="T323" s="5">
        <v>7130.4</v>
      </c>
      <c r="U323" s="5">
        <v>7130.4</v>
      </c>
      <c r="V323" s="5">
        <v>7182.5</v>
      </c>
      <c r="W323" s="5">
        <v>7182.5</v>
      </c>
      <c r="X323" s="5">
        <v>7182.5</v>
      </c>
      <c r="Y323" s="5">
        <v>7182.5</v>
      </c>
      <c r="Z323" s="3">
        <v>7182.5</v>
      </c>
      <c r="AA323" s="6">
        <v>2026</v>
      </c>
    </row>
    <row r="324" spans="1:30" ht="45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7" t="s">
        <v>64</v>
      </c>
      <c r="S324" s="6" t="s">
        <v>31</v>
      </c>
      <c r="T324" s="9">
        <v>98</v>
      </c>
      <c r="U324" s="9">
        <v>10</v>
      </c>
      <c r="V324" s="108"/>
      <c r="W324" s="9">
        <v>10</v>
      </c>
      <c r="X324" s="9">
        <v>10</v>
      </c>
      <c r="Y324" s="9">
        <v>10</v>
      </c>
      <c r="Z324" s="4">
        <f t="shared" ref="Z324:Z350" si="27">T324+U324+V324+W324+X324+Y324</f>
        <v>138</v>
      </c>
      <c r="AA324" s="6">
        <v>2026</v>
      </c>
    </row>
    <row r="325" spans="1:30" ht="45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7" t="s">
        <v>65</v>
      </c>
      <c r="S325" s="6" t="s">
        <v>31</v>
      </c>
      <c r="T325" s="9">
        <v>2600</v>
      </c>
      <c r="U325" s="9">
        <v>2600</v>
      </c>
      <c r="V325" s="9">
        <v>1908</v>
      </c>
      <c r="W325" s="9">
        <v>2000</v>
      </c>
      <c r="X325" s="9">
        <v>2000</v>
      </c>
      <c r="Y325" s="9">
        <v>2000</v>
      </c>
      <c r="Z325" s="4">
        <f t="shared" si="27"/>
        <v>13108</v>
      </c>
      <c r="AA325" s="6">
        <v>2026</v>
      </c>
    </row>
    <row r="326" spans="1:30" ht="30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25" t="s">
        <v>66</v>
      </c>
      <c r="S326" s="6" t="s">
        <v>8</v>
      </c>
      <c r="T326" s="5">
        <v>61400</v>
      </c>
      <c r="U326" s="5">
        <v>63790.6</v>
      </c>
      <c r="V326" s="5">
        <v>80437.399999999994</v>
      </c>
      <c r="W326" s="5">
        <v>50000</v>
      </c>
      <c r="X326" s="5">
        <v>50000</v>
      </c>
      <c r="Y326" s="5">
        <v>50000</v>
      </c>
      <c r="Z326" s="3">
        <f t="shared" si="27"/>
        <v>355628</v>
      </c>
      <c r="AA326" s="6">
        <v>2026</v>
      </c>
    </row>
    <row r="327" spans="1:30" ht="30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7" t="s">
        <v>208</v>
      </c>
      <c r="S327" s="6" t="s">
        <v>2</v>
      </c>
      <c r="T327" s="5"/>
      <c r="U327" s="5"/>
      <c r="V327" s="107"/>
      <c r="W327" s="5">
        <v>93.5</v>
      </c>
      <c r="X327" s="5">
        <v>93.5</v>
      </c>
      <c r="Y327" s="5">
        <v>93.5</v>
      </c>
      <c r="Z327" s="3">
        <v>93.5</v>
      </c>
      <c r="AA327" s="6">
        <v>2026</v>
      </c>
    </row>
    <row r="328" spans="1:30" ht="30" x14ac:dyDescent="0.25">
      <c r="A328" s="21" t="s">
        <v>10</v>
      </c>
      <c r="B328" s="21" t="s">
        <v>11</v>
      </c>
      <c r="C328" s="21" t="s">
        <v>12</v>
      </c>
      <c r="D328" s="21" t="s">
        <v>10</v>
      </c>
      <c r="E328" s="21" t="s">
        <v>20</v>
      </c>
      <c r="F328" s="21" t="s">
        <v>10</v>
      </c>
      <c r="G328" s="21" t="s">
        <v>19</v>
      </c>
      <c r="H328" s="21" t="s">
        <v>10</v>
      </c>
      <c r="I328" s="21" t="s">
        <v>18</v>
      </c>
      <c r="J328" s="21" t="s">
        <v>11</v>
      </c>
      <c r="K328" s="21" t="s">
        <v>10</v>
      </c>
      <c r="L328" s="21" t="s">
        <v>21</v>
      </c>
      <c r="M328" s="21" t="s">
        <v>19</v>
      </c>
      <c r="N328" s="21" t="s">
        <v>19</v>
      </c>
      <c r="O328" s="21" t="s">
        <v>19</v>
      </c>
      <c r="P328" s="21" t="s">
        <v>19</v>
      </c>
      <c r="Q328" s="21" t="s">
        <v>19</v>
      </c>
      <c r="R328" s="22" t="s">
        <v>132</v>
      </c>
      <c r="S328" s="23" t="s">
        <v>33</v>
      </c>
      <c r="T328" s="25">
        <f>2500+114.7</f>
        <v>2614.6999999999998</v>
      </c>
      <c r="U328" s="25">
        <f>18000+2499.8+1300+2500+112.6-3444.9+309.9</f>
        <v>21277.399999999998</v>
      </c>
      <c r="V328" s="25">
        <v>38815.1</v>
      </c>
      <c r="W328" s="25">
        <f>24511.5+5600</f>
        <v>30111.5</v>
      </c>
      <c r="X328" s="25">
        <v>25175.9</v>
      </c>
      <c r="Y328" s="25">
        <v>25175.9</v>
      </c>
      <c r="Z328" s="25">
        <f>T328+U328+V328+W328+X328+Y328</f>
        <v>143170.5</v>
      </c>
      <c r="AA328" s="23">
        <v>2026</v>
      </c>
      <c r="AB328" s="75"/>
    </row>
    <row r="329" spans="1:30" s="1" customFormat="1" ht="34.1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7" t="s">
        <v>133</v>
      </c>
      <c r="S329" s="6" t="s">
        <v>31</v>
      </c>
      <c r="T329" s="9">
        <v>191</v>
      </c>
      <c r="U329" s="9">
        <v>196</v>
      </c>
      <c r="V329" s="9">
        <v>196</v>
      </c>
      <c r="W329" s="9">
        <v>205</v>
      </c>
      <c r="X329" s="9">
        <v>205</v>
      </c>
      <c r="Y329" s="9">
        <v>205</v>
      </c>
      <c r="Z329" s="4">
        <v>205</v>
      </c>
      <c r="AA329" s="8">
        <v>2026</v>
      </c>
      <c r="AB329" s="72"/>
      <c r="AC329" s="17"/>
      <c r="AD329" s="17"/>
    </row>
    <row r="330" spans="1:30" ht="30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7" t="s">
        <v>134</v>
      </c>
      <c r="S330" s="6" t="s">
        <v>31</v>
      </c>
      <c r="T330" s="8"/>
      <c r="U330" s="57"/>
      <c r="V330" s="8">
        <v>4</v>
      </c>
      <c r="W330" s="8"/>
      <c r="X330" s="8">
        <v>1</v>
      </c>
      <c r="Y330" s="8">
        <v>1</v>
      </c>
      <c r="Z330" s="4">
        <f t="shared" si="27"/>
        <v>6</v>
      </c>
      <c r="AA330" s="6">
        <v>2026</v>
      </c>
    </row>
    <row r="331" spans="1:30" ht="30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7" t="s">
        <v>135</v>
      </c>
      <c r="S331" s="6" t="s">
        <v>31</v>
      </c>
      <c r="T331" s="8">
        <v>3</v>
      </c>
      <c r="U331" s="8">
        <v>3</v>
      </c>
      <c r="V331" s="8">
        <v>4</v>
      </c>
      <c r="W331" s="8">
        <v>2</v>
      </c>
      <c r="X331" s="8">
        <v>2</v>
      </c>
      <c r="Y331" s="8">
        <v>2</v>
      </c>
      <c r="Z331" s="4">
        <f t="shared" si="27"/>
        <v>16</v>
      </c>
      <c r="AA331" s="6">
        <v>2026</v>
      </c>
    </row>
    <row r="332" spans="1:30" ht="44.25" x14ac:dyDescent="0.25">
      <c r="A332" s="21"/>
      <c r="B332" s="21"/>
      <c r="C332" s="21"/>
      <c r="D332" s="21" t="s">
        <v>10</v>
      </c>
      <c r="E332" s="21" t="s">
        <v>20</v>
      </c>
      <c r="F332" s="21" t="s">
        <v>10</v>
      </c>
      <c r="G332" s="21" t="s">
        <v>19</v>
      </c>
      <c r="H332" s="21" t="s">
        <v>10</v>
      </c>
      <c r="I332" s="21" t="s">
        <v>18</v>
      </c>
      <c r="J332" s="21" t="s">
        <v>11</v>
      </c>
      <c r="K332" s="21" t="s">
        <v>10</v>
      </c>
      <c r="L332" s="21" t="s">
        <v>21</v>
      </c>
      <c r="M332" s="21" t="s">
        <v>19</v>
      </c>
      <c r="N332" s="21" t="s">
        <v>19</v>
      </c>
      <c r="O332" s="21" t="s">
        <v>19</v>
      </c>
      <c r="P332" s="21" t="s">
        <v>19</v>
      </c>
      <c r="Q332" s="21" t="s">
        <v>19</v>
      </c>
      <c r="R332" s="45" t="s">
        <v>70</v>
      </c>
      <c r="S332" s="23" t="s">
        <v>33</v>
      </c>
      <c r="T332" s="25">
        <f t="shared" ref="T332:Y332" si="28">T334+T338+T342+T346</f>
        <v>25249.599999999999</v>
      </c>
      <c r="U332" s="25">
        <f t="shared" si="28"/>
        <v>30009.699999999997</v>
      </c>
      <c r="V332" s="25">
        <f t="shared" si="28"/>
        <v>30834</v>
      </c>
      <c r="W332" s="25">
        <f t="shared" si="28"/>
        <v>602.20000000000005</v>
      </c>
      <c r="X332" s="25">
        <f t="shared" si="28"/>
        <v>602.20000000000005</v>
      </c>
      <c r="Y332" s="25">
        <f t="shared" si="28"/>
        <v>602.20000000000005</v>
      </c>
      <c r="Z332" s="25">
        <f>Z334+Z338+Z342+Z346</f>
        <v>87899.9</v>
      </c>
      <c r="AA332" s="23">
        <v>2026</v>
      </c>
      <c r="AB332" s="101"/>
    </row>
    <row r="333" spans="1:30" ht="30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7" t="s">
        <v>71</v>
      </c>
      <c r="S333" s="6" t="s">
        <v>15</v>
      </c>
      <c r="T333" s="5">
        <f t="shared" ref="T333:Z333" si="29">T335+T339+T343</f>
        <v>636.29999999999995</v>
      </c>
      <c r="U333" s="5">
        <f t="shared" si="29"/>
        <v>293</v>
      </c>
      <c r="V333" s="5">
        <f t="shared" si="29"/>
        <v>491</v>
      </c>
      <c r="W333" s="5">
        <f t="shared" si="29"/>
        <v>271</v>
      </c>
      <c r="X333" s="5">
        <f t="shared" si="29"/>
        <v>530</v>
      </c>
      <c r="Y333" s="5">
        <f t="shared" si="29"/>
        <v>530</v>
      </c>
      <c r="Z333" s="3">
        <f t="shared" si="29"/>
        <v>2751.3</v>
      </c>
      <c r="AA333" s="6">
        <v>2026</v>
      </c>
    </row>
    <row r="334" spans="1:30" ht="45" x14ac:dyDescent="0.25">
      <c r="A334" s="21" t="s">
        <v>10</v>
      </c>
      <c r="B334" s="21" t="s">
        <v>10</v>
      </c>
      <c r="C334" s="21" t="s">
        <v>21</v>
      </c>
      <c r="D334" s="21" t="s">
        <v>10</v>
      </c>
      <c r="E334" s="21" t="s">
        <v>20</v>
      </c>
      <c r="F334" s="21" t="s">
        <v>10</v>
      </c>
      <c r="G334" s="21" t="s">
        <v>19</v>
      </c>
      <c r="H334" s="21" t="s">
        <v>10</v>
      </c>
      <c r="I334" s="21" t="s">
        <v>18</v>
      </c>
      <c r="J334" s="21" t="s">
        <v>11</v>
      </c>
      <c r="K334" s="21" t="s">
        <v>10</v>
      </c>
      <c r="L334" s="21" t="s">
        <v>21</v>
      </c>
      <c r="M334" s="21" t="s">
        <v>19</v>
      </c>
      <c r="N334" s="21" t="s">
        <v>19</v>
      </c>
      <c r="O334" s="21" t="s">
        <v>19</v>
      </c>
      <c r="P334" s="21" t="s">
        <v>19</v>
      </c>
      <c r="Q334" s="21" t="s">
        <v>19</v>
      </c>
      <c r="R334" s="22" t="s">
        <v>54</v>
      </c>
      <c r="S334" s="23" t="s">
        <v>33</v>
      </c>
      <c r="T334" s="24">
        <f>1252.2-957.3</f>
        <v>294.90000000000009</v>
      </c>
      <c r="U334" s="24">
        <f>252.2-209.9</f>
        <v>42.299999999999983</v>
      </c>
      <c r="V334" s="24">
        <v>252.2</v>
      </c>
      <c r="W334" s="24">
        <v>252.2</v>
      </c>
      <c r="X334" s="24">
        <v>252.2</v>
      </c>
      <c r="Y334" s="24">
        <v>252.2</v>
      </c>
      <c r="Z334" s="25">
        <f t="shared" si="27"/>
        <v>1346.0000000000002</v>
      </c>
      <c r="AA334" s="23">
        <v>2026</v>
      </c>
    </row>
    <row r="335" spans="1:30" ht="30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7" t="s">
        <v>55</v>
      </c>
      <c r="S335" s="6" t="s">
        <v>15</v>
      </c>
      <c r="T335" s="5">
        <v>340.3</v>
      </c>
      <c r="U335" s="5"/>
      <c r="V335" s="5">
        <v>203</v>
      </c>
      <c r="W335" s="5">
        <v>48</v>
      </c>
      <c r="X335" s="5">
        <v>300</v>
      </c>
      <c r="Y335" s="5">
        <v>300</v>
      </c>
      <c r="Z335" s="3">
        <f>T335+U335+V335+W335+X335+Y335</f>
        <v>1191.3</v>
      </c>
      <c r="AA335" s="6">
        <v>2026</v>
      </c>
    </row>
    <row r="336" spans="1:30" ht="30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7" t="s">
        <v>158</v>
      </c>
      <c r="S336" s="6" t="s">
        <v>15</v>
      </c>
      <c r="T336" s="5"/>
      <c r="U336" s="5">
        <v>24</v>
      </c>
      <c r="V336" s="5"/>
      <c r="W336" s="5"/>
      <c r="X336" s="5">
        <v>60</v>
      </c>
      <c r="Y336" s="5">
        <v>60</v>
      </c>
      <c r="Z336" s="3">
        <f t="shared" ref="Z336" si="30">T336+U336+V336+W336+X336+Y336</f>
        <v>144</v>
      </c>
      <c r="AA336" s="6">
        <v>2026</v>
      </c>
    </row>
    <row r="337" spans="1:32" ht="30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7" t="s">
        <v>159</v>
      </c>
      <c r="S337" s="6" t="s">
        <v>157</v>
      </c>
      <c r="T337" s="9"/>
      <c r="U337" s="5">
        <v>54</v>
      </c>
      <c r="V337" s="5">
        <v>120</v>
      </c>
      <c r="W337" s="5">
        <v>230</v>
      </c>
      <c r="X337" s="5">
        <v>50</v>
      </c>
      <c r="Y337" s="5">
        <v>50</v>
      </c>
      <c r="Z337" s="3">
        <f t="shared" si="27"/>
        <v>504</v>
      </c>
      <c r="AA337" s="6">
        <v>2026</v>
      </c>
    </row>
    <row r="338" spans="1:32" ht="45" x14ac:dyDescent="0.25">
      <c r="A338" s="21" t="s">
        <v>10</v>
      </c>
      <c r="B338" s="21" t="s">
        <v>10</v>
      </c>
      <c r="C338" s="21" t="s">
        <v>20</v>
      </c>
      <c r="D338" s="21" t="s">
        <v>10</v>
      </c>
      <c r="E338" s="21" t="s">
        <v>20</v>
      </c>
      <c r="F338" s="21" t="s">
        <v>10</v>
      </c>
      <c r="G338" s="21" t="s">
        <v>19</v>
      </c>
      <c r="H338" s="21" t="s">
        <v>10</v>
      </c>
      <c r="I338" s="21" t="s">
        <v>18</v>
      </c>
      <c r="J338" s="21" t="s">
        <v>11</v>
      </c>
      <c r="K338" s="21" t="s">
        <v>10</v>
      </c>
      <c r="L338" s="21" t="s">
        <v>21</v>
      </c>
      <c r="M338" s="21" t="s">
        <v>19</v>
      </c>
      <c r="N338" s="21" t="s">
        <v>19</v>
      </c>
      <c r="O338" s="21" t="s">
        <v>19</v>
      </c>
      <c r="P338" s="21" t="s">
        <v>19</v>
      </c>
      <c r="Q338" s="21" t="s">
        <v>19</v>
      </c>
      <c r="R338" s="22" t="s">
        <v>54</v>
      </c>
      <c r="S338" s="23" t="s">
        <v>33</v>
      </c>
      <c r="T338" s="24">
        <v>150</v>
      </c>
      <c r="U338" s="24">
        <f>150-35.7</f>
        <v>114.3</v>
      </c>
      <c r="V338" s="24">
        <v>150</v>
      </c>
      <c r="W338" s="24">
        <v>150</v>
      </c>
      <c r="X338" s="24">
        <v>150</v>
      </c>
      <c r="Y338" s="24">
        <v>150</v>
      </c>
      <c r="Z338" s="25">
        <f t="shared" si="27"/>
        <v>864.3</v>
      </c>
      <c r="AA338" s="23">
        <v>2026</v>
      </c>
    </row>
    <row r="339" spans="1:32" ht="30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7" t="s">
        <v>160</v>
      </c>
      <c r="S339" s="6" t="s">
        <v>15</v>
      </c>
      <c r="T339" s="5">
        <v>216</v>
      </c>
      <c r="U339" s="5">
        <v>218</v>
      </c>
      <c r="V339" s="5">
        <v>198</v>
      </c>
      <c r="W339" s="5">
        <v>123</v>
      </c>
      <c r="X339" s="5">
        <v>150</v>
      </c>
      <c r="Y339" s="5">
        <v>150</v>
      </c>
      <c r="Z339" s="3">
        <f t="shared" si="27"/>
        <v>1055</v>
      </c>
      <c r="AA339" s="6">
        <v>2026</v>
      </c>
    </row>
    <row r="340" spans="1:32" ht="30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7" t="s">
        <v>161</v>
      </c>
      <c r="S340" s="6" t="s">
        <v>15</v>
      </c>
      <c r="T340" s="5">
        <v>50</v>
      </c>
      <c r="U340" s="107"/>
      <c r="V340" s="5">
        <v>12</v>
      </c>
      <c r="W340" s="5">
        <v>8</v>
      </c>
      <c r="X340" s="5">
        <v>80</v>
      </c>
      <c r="Y340" s="5">
        <v>80</v>
      </c>
      <c r="Z340" s="3">
        <f t="shared" si="27"/>
        <v>230</v>
      </c>
      <c r="AA340" s="6">
        <v>2026</v>
      </c>
    </row>
    <row r="341" spans="1:32" ht="30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7" t="s">
        <v>162</v>
      </c>
      <c r="S341" s="6" t="s">
        <v>157</v>
      </c>
      <c r="T341" s="9"/>
      <c r="U341" s="108"/>
      <c r="V341" s="5"/>
      <c r="W341" s="5">
        <v>50</v>
      </c>
      <c r="X341" s="5">
        <v>36</v>
      </c>
      <c r="Y341" s="5">
        <v>36</v>
      </c>
      <c r="Z341" s="3">
        <f t="shared" si="27"/>
        <v>122</v>
      </c>
      <c r="AA341" s="6">
        <v>2026</v>
      </c>
    </row>
    <row r="342" spans="1:32" ht="45" x14ac:dyDescent="0.25">
      <c r="A342" s="21" t="s">
        <v>10</v>
      </c>
      <c r="B342" s="21" t="s">
        <v>10</v>
      </c>
      <c r="C342" s="21" t="s">
        <v>17</v>
      </c>
      <c r="D342" s="21" t="s">
        <v>10</v>
      </c>
      <c r="E342" s="21" t="s">
        <v>20</v>
      </c>
      <c r="F342" s="21" t="s">
        <v>10</v>
      </c>
      <c r="G342" s="21" t="s">
        <v>19</v>
      </c>
      <c r="H342" s="21" t="s">
        <v>10</v>
      </c>
      <c r="I342" s="21" t="s">
        <v>18</v>
      </c>
      <c r="J342" s="21" t="s">
        <v>11</v>
      </c>
      <c r="K342" s="21" t="s">
        <v>10</v>
      </c>
      <c r="L342" s="21" t="s">
        <v>21</v>
      </c>
      <c r="M342" s="21" t="s">
        <v>19</v>
      </c>
      <c r="N342" s="21" t="s">
        <v>19</v>
      </c>
      <c r="O342" s="21" t="s">
        <v>19</v>
      </c>
      <c r="P342" s="21" t="s">
        <v>19</v>
      </c>
      <c r="Q342" s="21" t="s">
        <v>19</v>
      </c>
      <c r="R342" s="22" t="s">
        <v>54</v>
      </c>
      <c r="S342" s="23" t="s">
        <v>33</v>
      </c>
      <c r="T342" s="24">
        <v>200</v>
      </c>
      <c r="U342" s="24">
        <v>200</v>
      </c>
      <c r="V342" s="24">
        <v>200</v>
      </c>
      <c r="W342" s="24">
        <v>200</v>
      </c>
      <c r="X342" s="24">
        <v>200</v>
      </c>
      <c r="Y342" s="24">
        <v>200</v>
      </c>
      <c r="Z342" s="25">
        <f t="shared" si="27"/>
        <v>1200</v>
      </c>
      <c r="AA342" s="23">
        <v>2026</v>
      </c>
    </row>
    <row r="343" spans="1:32" ht="30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7" t="s">
        <v>163</v>
      </c>
      <c r="S343" s="6" t="s">
        <v>15</v>
      </c>
      <c r="T343" s="5">
        <v>80</v>
      </c>
      <c r="U343" s="5">
        <v>75</v>
      </c>
      <c r="V343" s="5">
        <v>90</v>
      </c>
      <c r="W343" s="5">
        <v>100</v>
      </c>
      <c r="X343" s="5">
        <v>80</v>
      </c>
      <c r="Y343" s="5">
        <v>80</v>
      </c>
      <c r="Z343" s="3">
        <f t="shared" si="27"/>
        <v>505</v>
      </c>
      <c r="AA343" s="6">
        <v>2026</v>
      </c>
      <c r="AB343" s="140"/>
    </row>
    <row r="344" spans="1:32" ht="30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7" t="s">
        <v>164</v>
      </c>
      <c r="S344" s="6" t="s">
        <v>15</v>
      </c>
      <c r="T344" s="5">
        <v>100</v>
      </c>
      <c r="U344" s="5">
        <v>240</v>
      </c>
      <c r="V344" s="5">
        <v>234</v>
      </c>
      <c r="W344" s="5">
        <v>360</v>
      </c>
      <c r="X344" s="5">
        <v>100</v>
      </c>
      <c r="Y344" s="5">
        <v>100</v>
      </c>
      <c r="Z344" s="3">
        <f t="shared" si="27"/>
        <v>1134</v>
      </c>
      <c r="AA344" s="6">
        <v>2026</v>
      </c>
      <c r="AB344" s="140"/>
    </row>
    <row r="345" spans="1:32" s="1" customFormat="1" ht="30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7" t="s">
        <v>166</v>
      </c>
      <c r="S345" s="6" t="s">
        <v>157</v>
      </c>
      <c r="T345" s="9"/>
      <c r="U345" s="108"/>
      <c r="V345" s="5">
        <v>60</v>
      </c>
      <c r="W345" s="5">
        <v>90</v>
      </c>
      <c r="X345" s="5">
        <v>60</v>
      </c>
      <c r="Y345" s="5">
        <v>60</v>
      </c>
      <c r="Z345" s="3">
        <f>T345+U345+V345+W345+X345+Y345</f>
        <v>270</v>
      </c>
      <c r="AA345" s="6">
        <v>2026</v>
      </c>
      <c r="AB345" s="140"/>
      <c r="AC345" s="17"/>
      <c r="AD345" s="17"/>
    </row>
    <row r="346" spans="1:32" ht="45" x14ac:dyDescent="0.25">
      <c r="A346" s="21" t="s">
        <v>10</v>
      </c>
      <c r="B346" s="21" t="s">
        <v>11</v>
      </c>
      <c r="C346" s="21" t="s">
        <v>12</v>
      </c>
      <c r="D346" s="21" t="s">
        <v>10</v>
      </c>
      <c r="E346" s="21" t="s">
        <v>20</v>
      </c>
      <c r="F346" s="21" t="s">
        <v>10</v>
      </c>
      <c r="G346" s="21" t="s">
        <v>19</v>
      </c>
      <c r="H346" s="21" t="s">
        <v>10</v>
      </c>
      <c r="I346" s="21" t="s">
        <v>18</v>
      </c>
      <c r="J346" s="21" t="s">
        <v>11</v>
      </c>
      <c r="K346" s="21" t="s">
        <v>10</v>
      </c>
      <c r="L346" s="21" t="s">
        <v>21</v>
      </c>
      <c r="M346" s="21" t="s">
        <v>19</v>
      </c>
      <c r="N346" s="21" t="s">
        <v>19</v>
      </c>
      <c r="O346" s="21" t="s">
        <v>19</v>
      </c>
      <c r="P346" s="21" t="s">
        <v>19</v>
      </c>
      <c r="Q346" s="21" t="s">
        <v>19</v>
      </c>
      <c r="R346" s="22" t="s">
        <v>54</v>
      </c>
      <c r="S346" s="23" t="s">
        <v>33</v>
      </c>
      <c r="T346" s="24">
        <f>24827.1-222.4</f>
        <v>24604.699999999997</v>
      </c>
      <c r="U346" s="24">
        <f>25184.6+4478.2-9.7</f>
        <v>29653.1</v>
      </c>
      <c r="V346" s="24">
        <f>30231.8</f>
        <v>30231.8</v>
      </c>
      <c r="W346" s="56"/>
      <c r="X346" s="56"/>
      <c r="Y346" s="24"/>
      <c r="Z346" s="25">
        <f t="shared" si="27"/>
        <v>84489.599999999991</v>
      </c>
      <c r="AA346" s="23">
        <v>2023</v>
      </c>
    </row>
    <row r="347" spans="1:32" s="10" customFormat="1" ht="45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7" t="s">
        <v>165</v>
      </c>
      <c r="S347" s="6" t="s">
        <v>37</v>
      </c>
      <c r="T347" s="5">
        <v>2708</v>
      </c>
      <c r="U347" s="5">
        <v>2708</v>
      </c>
      <c r="V347" s="5">
        <v>2734.9</v>
      </c>
      <c r="W347" s="107"/>
      <c r="X347" s="107"/>
      <c r="Y347" s="107"/>
      <c r="Z347" s="3">
        <f>T347+U347+V347+W347+X347+Y347</f>
        <v>8150.9</v>
      </c>
      <c r="AA347" s="6">
        <v>2023</v>
      </c>
      <c r="AB347" s="72"/>
      <c r="AC347" s="17"/>
      <c r="AD347" s="17"/>
      <c r="AE347" s="1"/>
      <c r="AF347" s="1"/>
    </row>
    <row r="348" spans="1:32" s="10" customFormat="1" ht="45" x14ac:dyDescent="0.25">
      <c r="A348" s="21" t="s">
        <v>10</v>
      </c>
      <c r="B348" s="21" t="s">
        <v>11</v>
      </c>
      <c r="C348" s="21" t="s">
        <v>12</v>
      </c>
      <c r="D348" s="21" t="s">
        <v>10</v>
      </c>
      <c r="E348" s="21" t="s">
        <v>20</v>
      </c>
      <c r="F348" s="21" t="s">
        <v>10</v>
      </c>
      <c r="G348" s="21" t="s">
        <v>19</v>
      </c>
      <c r="H348" s="21" t="s">
        <v>10</v>
      </c>
      <c r="I348" s="21" t="s">
        <v>18</v>
      </c>
      <c r="J348" s="21" t="s">
        <v>11</v>
      </c>
      <c r="K348" s="21" t="s">
        <v>10</v>
      </c>
      <c r="L348" s="21" t="s">
        <v>21</v>
      </c>
      <c r="M348" s="21" t="s">
        <v>19</v>
      </c>
      <c r="N348" s="21" t="s">
        <v>19</v>
      </c>
      <c r="O348" s="21" t="s">
        <v>19</v>
      </c>
      <c r="P348" s="21" t="s">
        <v>19</v>
      </c>
      <c r="Q348" s="21" t="s">
        <v>19</v>
      </c>
      <c r="R348" s="22" t="s">
        <v>67</v>
      </c>
      <c r="S348" s="23" t="s">
        <v>33</v>
      </c>
      <c r="T348" s="25">
        <f>500+500+500+1000</f>
        <v>2500</v>
      </c>
      <c r="U348" s="25">
        <f>2000+1850-1350</f>
        <v>2500</v>
      </c>
      <c r="V348" s="59"/>
      <c r="W348" s="59"/>
      <c r="X348" s="59"/>
      <c r="Y348" s="25"/>
      <c r="Z348" s="25">
        <f t="shared" si="27"/>
        <v>5000</v>
      </c>
      <c r="AA348" s="23">
        <v>2022</v>
      </c>
      <c r="AB348" s="72"/>
      <c r="AC348" s="17"/>
      <c r="AD348" s="17"/>
      <c r="AE348" s="1"/>
      <c r="AF348" s="1"/>
    </row>
    <row r="349" spans="1:32" s="1" customFormat="1" ht="30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7" t="s">
        <v>69</v>
      </c>
      <c r="S349" s="6" t="s">
        <v>31</v>
      </c>
      <c r="T349" s="8">
        <v>40</v>
      </c>
      <c r="U349" s="8">
        <v>45</v>
      </c>
      <c r="V349" s="57"/>
      <c r="W349" s="57"/>
      <c r="X349" s="57"/>
      <c r="Y349" s="8"/>
      <c r="Z349" s="4">
        <f t="shared" si="27"/>
        <v>85</v>
      </c>
      <c r="AA349" s="6">
        <v>2022</v>
      </c>
      <c r="AB349" s="124" t="s">
        <v>235</v>
      </c>
      <c r="AC349" s="17"/>
      <c r="AD349" s="17"/>
    </row>
    <row r="350" spans="1:32" s="10" customFormat="1" ht="30" x14ac:dyDescent="0.25">
      <c r="A350" s="21" t="s">
        <v>10</v>
      </c>
      <c r="B350" s="21" t="s">
        <v>11</v>
      </c>
      <c r="C350" s="21" t="s">
        <v>12</v>
      </c>
      <c r="D350" s="21" t="s">
        <v>10</v>
      </c>
      <c r="E350" s="21" t="s">
        <v>20</v>
      </c>
      <c r="F350" s="21" t="s">
        <v>10</v>
      </c>
      <c r="G350" s="21" t="s">
        <v>19</v>
      </c>
      <c r="H350" s="21" t="s">
        <v>10</v>
      </c>
      <c r="I350" s="21" t="s">
        <v>18</v>
      </c>
      <c r="J350" s="21" t="s">
        <v>11</v>
      </c>
      <c r="K350" s="21" t="s">
        <v>45</v>
      </c>
      <c r="L350" s="21" t="s">
        <v>12</v>
      </c>
      <c r="M350" s="21" t="s">
        <v>17</v>
      </c>
      <c r="N350" s="21" t="s">
        <v>20</v>
      </c>
      <c r="O350" s="21" t="s">
        <v>11</v>
      </c>
      <c r="P350" s="21" t="s">
        <v>18</v>
      </c>
      <c r="Q350" s="21" t="s">
        <v>10</v>
      </c>
      <c r="R350" s="97" t="s">
        <v>91</v>
      </c>
      <c r="S350" s="98" t="s">
        <v>33</v>
      </c>
      <c r="T350" s="25"/>
      <c r="U350" s="25">
        <f>100242+5275.9</f>
        <v>105517.9</v>
      </c>
      <c r="V350" s="25">
        <f>6229.1+114368.5</f>
        <v>120597.6</v>
      </c>
      <c r="W350" s="25">
        <f>(2047.9-1500)+(38909.9-2098.2)</f>
        <v>37359.600000000006</v>
      </c>
      <c r="X350" s="25">
        <v>34206.6</v>
      </c>
      <c r="Y350" s="25">
        <v>125104.8</v>
      </c>
      <c r="Z350" s="25">
        <f t="shared" si="27"/>
        <v>422786.49999999994</v>
      </c>
      <c r="AA350" s="23">
        <v>2026</v>
      </c>
      <c r="AB350" s="77" t="s">
        <v>233</v>
      </c>
      <c r="AC350" s="43"/>
      <c r="AD350" s="17"/>
      <c r="AE350" s="1"/>
      <c r="AF350" s="1"/>
    </row>
    <row r="351" spans="1:32" s="10" customFormat="1" ht="30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7" t="s">
        <v>68</v>
      </c>
      <c r="S351" s="6" t="s">
        <v>30</v>
      </c>
      <c r="T351" s="8"/>
      <c r="U351" s="8">
        <v>1</v>
      </c>
      <c r="V351" s="8">
        <v>1</v>
      </c>
      <c r="W351" s="8">
        <v>1</v>
      </c>
      <c r="X351" s="8">
        <v>1</v>
      </c>
      <c r="Y351" s="8">
        <v>1</v>
      </c>
      <c r="Z351" s="4">
        <v>1</v>
      </c>
      <c r="AA351" s="6">
        <v>2026</v>
      </c>
      <c r="AB351" s="77" t="s">
        <v>234</v>
      </c>
      <c r="AC351" s="43"/>
      <c r="AD351" s="17"/>
      <c r="AE351" s="1"/>
      <c r="AF351" s="1"/>
    </row>
    <row r="352" spans="1:32" s="10" customFormat="1" ht="60" x14ac:dyDescent="0.25">
      <c r="A352" s="21" t="s">
        <v>10</v>
      </c>
      <c r="B352" s="21" t="s">
        <v>11</v>
      </c>
      <c r="C352" s="21" t="s">
        <v>12</v>
      </c>
      <c r="D352" s="21" t="s">
        <v>10</v>
      </c>
      <c r="E352" s="21" t="s">
        <v>20</v>
      </c>
      <c r="F352" s="21" t="s">
        <v>10</v>
      </c>
      <c r="G352" s="21" t="s">
        <v>19</v>
      </c>
      <c r="H352" s="21" t="s">
        <v>10</v>
      </c>
      <c r="I352" s="21" t="s">
        <v>18</v>
      </c>
      <c r="J352" s="21" t="s">
        <v>11</v>
      </c>
      <c r="K352" s="21" t="s">
        <v>10</v>
      </c>
      <c r="L352" s="21" t="s">
        <v>21</v>
      </c>
      <c r="M352" s="21" t="s">
        <v>19</v>
      </c>
      <c r="N352" s="21" t="s">
        <v>19</v>
      </c>
      <c r="O352" s="21" t="s">
        <v>19</v>
      </c>
      <c r="P352" s="21" t="s">
        <v>19</v>
      </c>
      <c r="Q352" s="21" t="s">
        <v>19</v>
      </c>
      <c r="R352" s="22" t="s">
        <v>97</v>
      </c>
      <c r="S352" s="23" t="s">
        <v>33</v>
      </c>
      <c r="T352" s="25">
        <f>55000+50+119.7</f>
        <v>55169.7</v>
      </c>
      <c r="U352" s="25">
        <f>45213.9-30865.5+3755.4-80.1+315.3</f>
        <v>18339.000000000004</v>
      </c>
      <c r="V352" s="25">
        <v>528.1</v>
      </c>
      <c r="W352" s="25">
        <f>360.6-349.7+21184.7+263</f>
        <v>21458.600000000002</v>
      </c>
      <c r="X352" s="56"/>
      <c r="Y352" s="56"/>
      <c r="Z352" s="25">
        <f>T352+U352+V352</f>
        <v>74036.800000000003</v>
      </c>
      <c r="AA352" s="23">
        <v>2024</v>
      </c>
      <c r="AC352" s="43"/>
      <c r="AD352" s="17"/>
      <c r="AE352" s="1"/>
      <c r="AF352" s="1"/>
    </row>
    <row r="353" spans="1:32" s="10" customFormat="1" ht="30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7" t="s">
        <v>98</v>
      </c>
      <c r="S353" s="6" t="s">
        <v>30</v>
      </c>
      <c r="T353" s="8">
        <v>13</v>
      </c>
      <c r="U353" s="8">
        <v>7</v>
      </c>
      <c r="V353" s="8">
        <v>8</v>
      </c>
      <c r="W353" s="8">
        <v>1</v>
      </c>
      <c r="X353" s="57"/>
      <c r="Y353" s="57"/>
      <c r="Z353" s="4">
        <f>T353+U353+V353+W353+X353+Y353</f>
        <v>29</v>
      </c>
      <c r="AA353" s="6">
        <v>2024</v>
      </c>
      <c r="AB353" s="72"/>
      <c r="AC353" s="43"/>
      <c r="AD353" s="17"/>
      <c r="AE353" s="1"/>
      <c r="AF353" s="1"/>
    </row>
    <row r="354" spans="1:32" s="1" customFormat="1" ht="30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7" t="s">
        <v>176</v>
      </c>
      <c r="S354" s="58" t="s">
        <v>1</v>
      </c>
      <c r="T354" s="5"/>
      <c r="U354" s="5"/>
      <c r="V354" s="107"/>
      <c r="W354" s="5">
        <v>100</v>
      </c>
      <c r="X354" s="107"/>
      <c r="Y354" s="107"/>
      <c r="Z354" s="3">
        <f>W354</f>
        <v>100</v>
      </c>
      <c r="AA354" s="6">
        <v>2024</v>
      </c>
      <c r="AB354" s="78"/>
      <c r="AC354" s="17"/>
      <c r="AD354" s="17"/>
    </row>
    <row r="355" spans="1:32" s="1" customFormat="1" ht="45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7" t="s">
        <v>248</v>
      </c>
      <c r="S355" s="136" t="s">
        <v>30</v>
      </c>
      <c r="T355" s="5"/>
      <c r="U355" s="5"/>
      <c r="V355" s="107"/>
      <c r="W355" s="9">
        <v>8</v>
      </c>
      <c r="X355" s="108"/>
      <c r="Y355" s="108"/>
      <c r="Z355" s="4">
        <f>W355</f>
        <v>8</v>
      </c>
      <c r="AA355" s="6">
        <v>2024</v>
      </c>
      <c r="AB355" s="78"/>
      <c r="AC355" s="17"/>
      <c r="AD355" s="17"/>
    </row>
    <row r="356" spans="1:32" s="10" customFormat="1" ht="18.75" customHeight="1" x14ac:dyDescent="0.25">
      <c r="A356" s="21" t="s">
        <v>10</v>
      </c>
      <c r="B356" s="21" t="s">
        <v>11</v>
      </c>
      <c r="C356" s="21" t="s">
        <v>12</v>
      </c>
      <c r="D356" s="21" t="s">
        <v>10</v>
      </c>
      <c r="E356" s="21" t="s">
        <v>20</v>
      </c>
      <c r="F356" s="21" t="s">
        <v>10</v>
      </c>
      <c r="G356" s="21" t="s">
        <v>19</v>
      </c>
      <c r="H356" s="21" t="s">
        <v>10</v>
      </c>
      <c r="I356" s="21" t="s">
        <v>18</v>
      </c>
      <c r="J356" s="21" t="s">
        <v>11</v>
      </c>
      <c r="K356" s="21" t="s">
        <v>10</v>
      </c>
      <c r="L356" s="21" t="s">
        <v>21</v>
      </c>
      <c r="M356" s="21" t="s">
        <v>19</v>
      </c>
      <c r="N356" s="21" t="s">
        <v>19</v>
      </c>
      <c r="O356" s="21" t="s">
        <v>19</v>
      </c>
      <c r="P356" s="21" t="s">
        <v>19</v>
      </c>
      <c r="Q356" s="21" t="s">
        <v>19</v>
      </c>
      <c r="R356" s="141" t="s">
        <v>129</v>
      </c>
      <c r="S356" s="144" t="s">
        <v>33</v>
      </c>
      <c r="T356" s="25">
        <f>T357+T358</f>
        <v>18253.2</v>
      </c>
      <c r="U356" s="59"/>
      <c r="V356" s="59"/>
      <c r="W356" s="59"/>
      <c r="X356" s="56"/>
      <c r="Y356" s="56"/>
      <c r="Z356" s="25">
        <f>T356+U356+V356+W356+X356+Y356</f>
        <v>18253.2</v>
      </c>
      <c r="AA356" s="23">
        <v>2021</v>
      </c>
      <c r="AB356" s="75"/>
      <c r="AC356" s="43"/>
      <c r="AD356" s="17"/>
      <c r="AE356" s="1"/>
      <c r="AF356" s="1"/>
    </row>
    <row r="357" spans="1:32" s="10" customFormat="1" ht="21.6" customHeight="1" x14ac:dyDescent="0.25">
      <c r="A357" s="21" t="s">
        <v>10</v>
      </c>
      <c r="B357" s="21" t="s">
        <v>11</v>
      </c>
      <c r="C357" s="21" t="s">
        <v>12</v>
      </c>
      <c r="D357" s="21" t="s">
        <v>10</v>
      </c>
      <c r="E357" s="21" t="s">
        <v>20</v>
      </c>
      <c r="F357" s="21" t="s">
        <v>10</v>
      </c>
      <c r="G357" s="21" t="s">
        <v>19</v>
      </c>
      <c r="H357" s="21" t="s">
        <v>10</v>
      </c>
      <c r="I357" s="21" t="s">
        <v>18</v>
      </c>
      <c r="J357" s="21" t="s">
        <v>11</v>
      </c>
      <c r="K357" s="21" t="s">
        <v>10</v>
      </c>
      <c r="L357" s="21" t="s">
        <v>21</v>
      </c>
      <c r="M357" s="21" t="s">
        <v>40</v>
      </c>
      <c r="N357" s="21" t="s">
        <v>10</v>
      </c>
      <c r="O357" s="21" t="s">
        <v>18</v>
      </c>
      <c r="P357" s="21" t="s">
        <v>17</v>
      </c>
      <c r="Q357" s="21" t="s">
        <v>115</v>
      </c>
      <c r="R357" s="142"/>
      <c r="S357" s="145"/>
      <c r="T357" s="24">
        <f>3710-296.8</f>
        <v>3413.2</v>
      </c>
      <c r="U357" s="56"/>
      <c r="V357" s="59"/>
      <c r="W357" s="59"/>
      <c r="X357" s="56"/>
      <c r="Y357" s="56"/>
      <c r="Z357" s="25">
        <f t="shared" ref="Z357:Z358" si="31">T357+U357+V357+W357+X357+Y357</f>
        <v>3413.2</v>
      </c>
      <c r="AA357" s="23">
        <v>2021</v>
      </c>
      <c r="AB357" s="75"/>
      <c r="AC357" s="43"/>
      <c r="AD357" s="17"/>
      <c r="AE357" s="1"/>
      <c r="AF357" s="1"/>
    </row>
    <row r="358" spans="1:32" s="10" customFormat="1" ht="21.6" customHeight="1" x14ac:dyDescent="0.25">
      <c r="A358" s="21" t="s">
        <v>10</v>
      </c>
      <c r="B358" s="21" t="s">
        <v>11</v>
      </c>
      <c r="C358" s="21" t="s">
        <v>12</v>
      </c>
      <c r="D358" s="21" t="s">
        <v>10</v>
      </c>
      <c r="E358" s="21" t="s">
        <v>20</v>
      </c>
      <c r="F358" s="21" t="s">
        <v>10</v>
      </c>
      <c r="G358" s="21" t="s">
        <v>19</v>
      </c>
      <c r="H358" s="21" t="s">
        <v>10</v>
      </c>
      <c r="I358" s="21" t="s">
        <v>18</v>
      </c>
      <c r="J358" s="21" t="s">
        <v>11</v>
      </c>
      <c r="K358" s="21" t="s">
        <v>10</v>
      </c>
      <c r="L358" s="21" t="s">
        <v>21</v>
      </c>
      <c r="M358" s="21" t="s">
        <v>11</v>
      </c>
      <c r="N358" s="21" t="s">
        <v>10</v>
      </c>
      <c r="O358" s="21" t="s">
        <v>18</v>
      </c>
      <c r="P358" s="21" t="s">
        <v>17</v>
      </c>
      <c r="Q358" s="21" t="s">
        <v>115</v>
      </c>
      <c r="R358" s="143"/>
      <c r="S358" s="146"/>
      <c r="T358" s="24">
        <v>14840</v>
      </c>
      <c r="U358" s="56"/>
      <c r="V358" s="59"/>
      <c r="W358" s="59"/>
      <c r="X358" s="56"/>
      <c r="Y358" s="56"/>
      <c r="Z358" s="25">
        <f t="shared" si="31"/>
        <v>14840</v>
      </c>
      <c r="AA358" s="23">
        <v>2021</v>
      </c>
      <c r="AB358" s="75"/>
      <c r="AC358" s="43"/>
      <c r="AD358" s="17"/>
      <c r="AE358" s="1"/>
      <c r="AF358" s="1"/>
    </row>
    <row r="359" spans="1:32" s="10" customFormat="1" ht="36.6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7" t="s">
        <v>130</v>
      </c>
      <c r="S359" s="6" t="s">
        <v>30</v>
      </c>
      <c r="T359" s="8">
        <v>7</v>
      </c>
      <c r="U359" s="57"/>
      <c r="V359" s="57"/>
      <c r="W359" s="57"/>
      <c r="X359" s="57"/>
      <c r="Y359" s="57"/>
      <c r="Z359" s="4">
        <v>7</v>
      </c>
      <c r="AA359" s="6">
        <v>2021</v>
      </c>
      <c r="AB359" s="72"/>
      <c r="AC359" s="43"/>
      <c r="AD359" s="17"/>
      <c r="AE359" s="1"/>
      <c r="AF359" s="1"/>
    </row>
    <row r="360" spans="1:32" s="10" customFormat="1" ht="46.9" customHeight="1" x14ac:dyDescent="0.25">
      <c r="A360" s="21" t="s">
        <v>10</v>
      </c>
      <c r="B360" s="21" t="s">
        <v>11</v>
      </c>
      <c r="C360" s="21" t="s">
        <v>12</v>
      </c>
      <c r="D360" s="21" t="s">
        <v>10</v>
      </c>
      <c r="E360" s="21" t="s">
        <v>20</v>
      </c>
      <c r="F360" s="21" t="s">
        <v>10</v>
      </c>
      <c r="G360" s="21" t="s">
        <v>19</v>
      </c>
      <c r="H360" s="21" t="s">
        <v>10</v>
      </c>
      <c r="I360" s="21" t="s">
        <v>18</v>
      </c>
      <c r="J360" s="21" t="s">
        <v>11</v>
      </c>
      <c r="K360" s="21" t="s">
        <v>10</v>
      </c>
      <c r="L360" s="21" t="s">
        <v>21</v>
      </c>
      <c r="M360" s="21" t="s">
        <v>19</v>
      </c>
      <c r="N360" s="21" t="s">
        <v>19</v>
      </c>
      <c r="O360" s="21" t="s">
        <v>19</v>
      </c>
      <c r="P360" s="21" t="s">
        <v>19</v>
      </c>
      <c r="Q360" s="21" t="s">
        <v>19</v>
      </c>
      <c r="R360" s="22" t="s">
        <v>131</v>
      </c>
      <c r="S360" s="23" t="s">
        <v>33</v>
      </c>
      <c r="T360" s="25"/>
      <c r="U360" s="25">
        <f>4848.2-112.5-1350.7</f>
        <v>3385</v>
      </c>
      <c r="V360" s="25">
        <v>1662</v>
      </c>
      <c r="W360" s="25">
        <f>2547.4+8636.8</f>
        <v>11184.199999999999</v>
      </c>
      <c r="X360" s="25">
        <v>7000</v>
      </c>
      <c r="Y360" s="25">
        <v>7000</v>
      </c>
      <c r="Z360" s="25">
        <f>T360+U360+V360+W360+X360+Y360</f>
        <v>30231.199999999997</v>
      </c>
      <c r="AA360" s="23">
        <v>2026</v>
      </c>
      <c r="AB360" s="75"/>
      <c r="AC360" s="43"/>
      <c r="AD360" s="17"/>
      <c r="AE360" s="1"/>
      <c r="AF360" s="1"/>
    </row>
    <row r="361" spans="1:32" s="10" customFormat="1" ht="30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7" t="s">
        <v>141</v>
      </c>
      <c r="S361" s="6" t="s">
        <v>30</v>
      </c>
      <c r="T361" s="8"/>
      <c r="U361" s="8">
        <v>7</v>
      </c>
      <c r="V361" s="8">
        <v>7</v>
      </c>
      <c r="W361" s="8">
        <v>7</v>
      </c>
      <c r="X361" s="8">
        <v>7</v>
      </c>
      <c r="Y361" s="8">
        <v>7</v>
      </c>
      <c r="Z361" s="4">
        <v>7</v>
      </c>
      <c r="AA361" s="6">
        <v>2026</v>
      </c>
      <c r="AB361" s="72"/>
      <c r="AC361" s="43"/>
      <c r="AD361" s="17"/>
      <c r="AE361" s="1"/>
      <c r="AF361" s="1"/>
    </row>
    <row r="362" spans="1:32" s="10" customFormat="1" ht="45" x14ac:dyDescent="0.25">
      <c r="A362" s="21" t="s">
        <v>10</v>
      </c>
      <c r="B362" s="21" t="s">
        <v>11</v>
      </c>
      <c r="C362" s="21" t="s">
        <v>12</v>
      </c>
      <c r="D362" s="21" t="s">
        <v>10</v>
      </c>
      <c r="E362" s="21" t="s">
        <v>20</v>
      </c>
      <c r="F362" s="21" t="s">
        <v>10</v>
      </c>
      <c r="G362" s="21" t="s">
        <v>19</v>
      </c>
      <c r="H362" s="21" t="s">
        <v>10</v>
      </c>
      <c r="I362" s="21" t="s">
        <v>18</v>
      </c>
      <c r="J362" s="21" t="s">
        <v>11</v>
      </c>
      <c r="K362" s="21" t="s">
        <v>10</v>
      </c>
      <c r="L362" s="21" t="s">
        <v>21</v>
      </c>
      <c r="M362" s="21" t="s">
        <v>19</v>
      </c>
      <c r="N362" s="21" t="s">
        <v>19</v>
      </c>
      <c r="O362" s="21" t="s">
        <v>19</v>
      </c>
      <c r="P362" s="21" t="s">
        <v>19</v>
      </c>
      <c r="Q362" s="21" t="s">
        <v>19</v>
      </c>
      <c r="R362" s="22" t="s">
        <v>146</v>
      </c>
      <c r="S362" s="23" t="s">
        <v>33</v>
      </c>
      <c r="T362" s="25"/>
      <c r="U362" s="25">
        <f>7380.4-5763-600.4</f>
        <v>1016.9999999999997</v>
      </c>
      <c r="V362" s="25">
        <v>5763</v>
      </c>
      <c r="W362" s="59"/>
      <c r="X362" s="56"/>
      <c r="Y362" s="56"/>
      <c r="Z362" s="25">
        <f>T362+U362+V362+W362+X362+Y362</f>
        <v>6780</v>
      </c>
      <c r="AA362" s="23">
        <v>2023</v>
      </c>
      <c r="AB362" s="75"/>
      <c r="AC362" s="43"/>
      <c r="AD362" s="17"/>
      <c r="AE362" s="1"/>
      <c r="AF362" s="1"/>
    </row>
    <row r="363" spans="1:32" s="10" customFormat="1" ht="30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7" t="s">
        <v>155</v>
      </c>
      <c r="S363" s="6" t="s">
        <v>30</v>
      </c>
      <c r="T363" s="8"/>
      <c r="U363" s="57"/>
      <c r="V363" s="8">
        <v>1</v>
      </c>
      <c r="W363" s="57"/>
      <c r="X363" s="57"/>
      <c r="Y363" s="57"/>
      <c r="Z363" s="4">
        <f>V363</f>
        <v>1</v>
      </c>
      <c r="AA363" s="6">
        <v>2023</v>
      </c>
      <c r="AB363" s="77"/>
      <c r="AC363" s="43"/>
      <c r="AD363" s="17"/>
      <c r="AE363" s="1"/>
      <c r="AF363" s="1"/>
    </row>
    <row r="364" spans="1:32" s="16" customFormat="1" ht="30" x14ac:dyDescent="0.25">
      <c r="A364" s="13"/>
      <c r="B364" s="13"/>
      <c r="C364" s="13"/>
      <c r="D364" s="13"/>
      <c r="E364" s="13"/>
      <c r="F364" s="13"/>
      <c r="G364" s="13"/>
      <c r="H364" s="13"/>
      <c r="I364" s="14"/>
      <c r="J364" s="13"/>
      <c r="K364" s="13"/>
      <c r="L364" s="13"/>
      <c r="M364" s="13"/>
      <c r="N364" s="13"/>
      <c r="O364" s="13"/>
      <c r="P364" s="13"/>
      <c r="Q364" s="13"/>
      <c r="R364" s="7" t="s">
        <v>176</v>
      </c>
      <c r="S364" s="6" t="s">
        <v>1</v>
      </c>
      <c r="T364" s="60"/>
      <c r="U364" s="5">
        <f>U362/Z362*100</f>
        <v>14.999999999999995</v>
      </c>
      <c r="V364" s="5">
        <f>V362/Z362*100</f>
        <v>85</v>
      </c>
      <c r="W364" s="107"/>
      <c r="X364" s="107"/>
      <c r="Y364" s="107"/>
      <c r="Z364" s="3">
        <f>U364+V364</f>
        <v>100</v>
      </c>
      <c r="AA364" s="6">
        <v>2023</v>
      </c>
      <c r="AB364" s="73"/>
      <c r="AC364" s="63"/>
      <c r="AD364" s="64"/>
      <c r="AE364" s="65"/>
    </row>
    <row r="365" spans="1:32" ht="58.9" customHeight="1" x14ac:dyDescent="0.25">
      <c r="A365" s="21" t="s">
        <v>10</v>
      </c>
      <c r="B365" s="21" t="s">
        <v>11</v>
      </c>
      <c r="C365" s="21" t="s">
        <v>12</v>
      </c>
      <c r="D365" s="21" t="s">
        <v>10</v>
      </c>
      <c r="E365" s="21" t="s">
        <v>20</v>
      </c>
      <c r="F365" s="21" t="s">
        <v>10</v>
      </c>
      <c r="G365" s="21" t="s">
        <v>19</v>
      </c>
      <c r="H365" s="21" t="s">
        <v>10</v>
      </c>
      <c r="I365" s="21" t="s">
        <v>18</v>
      </c>
      <c r="J365" s="21" t="s">
        <v>11</v>
      </c>
      <c r="K365" s="21" t="s">
        <v>10</v>
      </c>
      <c r="L365" s="21" t="s">
        <v>21</v>
      </c>
      <c r="M365" s="21" t="s">
        <v>19</v>
      </c>
      <c r="N365" s="21" t="s">
        <v>19</v>
      </c>
      <c r="O365" s="21" t="s">
        <v>19</v>
      </c>
      <c r="P365" s="21" t="s">
        <v>19</v>
      </c>
      <c r="Q365" s="21" t="s">
        <v>19</v>
      </c>
      <c r="R365" s="22" t="s">
        <v>250</v>
      </c>
      <c r="S365" s="23" t="s">
        <v>33</v>
      </c>
      <c r="T365" s="25"/>
      <c r="U365" s="25"/>
      <c r="V365" s="25"/>
      <c r="W365" s="25">
        <v>51515.8</v>
      </c>
      <c r="X365" s="59"/>
      <c r="Y365" s="25"/>
      <c r="Z365" s="25">
        <f>T365+U365+V365+W365+X365+Y365</f>
        <v>51515.8</v>
      </c>
      <c r="AA365" s="23">
        <v>2024</v>
      </c>
    </row>
    <row r="366" spans="1:32" s="1" customFormat="1" ht="41.4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7" t="s">
        <v>249</v>
      </c>
      <c r="S366" s="6" t="s">
        <v>1</v>
      </c>
      <c r="T366" s="5"/>
      <c r="U366" s="107"/>
      <c r="V366" s="107"/>
      <c r="W366" s="5">
        <v>100</v>
      </c>
      <c r="X366" s="107"/>
      <c r="Y366" s="107"/>
      <c r="Z366" s="3">
        <f t="shared" ref="Z366" si="32">T366+U366+V366+W366+X366+Y366</f>
        <v>100</v>
      </c>
      <c r="AA366" s="6">
        <v>2024</v>
      </c>
      <c r="AB366" s="72"/>
      <c r="AC366" s="17"/>
      <c r="AD366" s="17"/>
    </row>
    <row r="367" spans="1:32" s="1" customFormat="1" ht="41.45" customHeight="1" x14ac:dyDescent="0.25">
      <c r="A367" s="38"/>
      <c r="B367" s="38"/>
      <c r="C367" s="38"/>
      <c r="D367" s="38"/>
      <c r="E367" s="38"/>
      <c r="F367" s="38"/>
      <c r="G367" s="38"/>
      <c r="H367" s="38"/>
      <c r="I367" s="39"/>
      <c r="J367" s="39"/>
      <c r="K367" s="39"/>
      <c r="L367" s="39"/>
      <c r="M367" s="39"/>
      <c r="N367" s="39"/>
      <c r="O367" s="39"/>
      <c r="P367" s="39"/>
      <c r="Q367" s="39"/>
      <c r="R367" s="40" t="s">
        <v>216</v>
      </c>
      <c r="S367" s="41" t="s">
        <v>33</v>
      </c>
      <c r="T367" s="42"/>
      <c r="U367" s="42"/>
      <c r="V367" s="122"/>
      <c r="W367" s="42">
        <v>0</v>
      </c>
      <c r="X367" s="42">
        <v>0</v>
      </c>
      <c r="Y367" s="42">
        <v>0</v>
      </c>
      <c r="Z367" s="42">
        <v>0</v>
      </c>
      <c r="AA367" s="41">
        <v>2026</v>
      </c>
      <c r="AB367" s="77" t="s">
        <v>239</v>
      </c>
      <c r="AC367" s="17"/>
      <c r="AD367" s="17"/>
    </row>
    <row r="368" spans="1:32" s="1" customFormat="1" ht="39.6" customHeight="1" x14ac:dyDescent="0.25">
      <c r="A368" s="6"/>
      <c r="B368" s="6"/>
      <c r="C368" s="6"/>
      <c r="D368" s="6"/>
      <c r="E368" s="6"/>
      <c r="F368" s="6"/>
      <c r="G368" s="6"/>
      <c r="H368" s="6"/>
      <c r="I368" s="14"/>
      <c r="J368" s="14"/>
      <c r="K368" s="14"/>
      <c r="L368" s="14"/>
      <c r="M368" s="14"/>
      <c r="N368" s="14"/>
      <c r="O368" s="14"/>
      <c r="P368" s="14"/>
      <c r="Q368" s="14"/>
      <c r="R368" s="7" t="s">
        <v>240</v>
      </c>
      <c r="S368" s="6" t="s">
        <v>33</v>
      </c>
      <c r="T368" s="9"/>
      <c r="U368" s="9"/>
      <c r="V368" s="108"/>
      <c r="W368" s="5">
        <v>41000</v>
      </c>
      <c r="X368" s="5">
        <v>40000</v>
      </c>
      <c r="Y368" s="5">
        <v>39000</v>
      </c>
      <c r="Z368" s="3">
        <f>W368+X368+Y368</f>
        <v>120000</v>
      </c>
      <c r="AA368" s="6">
        <v>2026</v>
      </c>
      <c r="AB368" s="126">
        <v>42688.4</v>
      </c>
      <c r="AC368" s="17"/>
      <c r="AD368" s="17"/>
    </row>
    <row r="369" spans="1:32" s="1" customFormat="1" ht="44.25" customHeight="1" x14ac:dyDescent="0.25">
      <c r="A369" s="6"/>
      <c r="B369" s="6"/>
      <c r="C369" s="6"/>
      <c r="D369" s="6"/>
      <c r="E369" s="6"/>
      <c r="F369" s="6"/>
      <c r="G369" s="6"/>
      <c r="H369" s="6"/>
      <c r="I369" s="14"/>
      <c r="J369" s="14"/>
      <c r="K369" s="14"/>
      <c r="L369" s="14"/>
      <c r="M369" s="14"/>
      <c r="N369" s="14"/>
      <c r="O369" s="14"/>
      <c r="P369" s="14"/>
      <c r="Q369" s="14"/>
      <c r="R369" s="7" t="s">
        <v>221</v>
      </c>
      <c r="S369" s="6" t="s">
        <v>33</v>
      </c>
      <c r="T369" s="9"/>
      <c r="U369" s="9"/>
      <c r="V369" s="108"/>
      <c r="W369" s="5">
        <v>1000</v>
      </c>
      <c r="X369" s="5">
        <v>1000</v>
      </c>
      <c r="Y369" s="5">
        <v>1000</v>
      </c>
      <c r="Z369" s="3">
        <f>W369+X369+Y369</f>
        <v>3000</v>
      </c>
      <c r="AA369" s="6">
        <v>2026</v>
      </c>
      <c r="AB369" s="126">
        <v>1000</v>
      </c>
      <c r="AC369" s="17"/>
      <c r="AD369" s="17"/>
    </row>
    <row r="370" spans="1:32" s="1" customFormat="1" ht="51.6" customHeight="1" x14ac:dyDescent="0.25">
      <c r="A370" s="6"/>
      <c r="B370" s="6"/>
      <c r="C370" s="6"/>
      <c r="D370" s="6"/>
      <c r="E370" s="6"/>
      <c r="F370" s="6"/>
      <c r="G370" s="6"/>
      <c r="H370" s="6"/>
      <c r="I370" s="14"/>
      <c r="J370" s="14"/>
      <c r="K370" s="14"/>
      <c r="L370" s="14"/>
      <c r="M370" s="14"/>
      <c r="N370" s="14"/>
      <c r="O370" s="14"/>
      <c r="P370" s="14"/>
      <c r="Q370" s="14"/>
      <c r="R370" s="7" t="s">
        <v>241</v>
      </c>
      <c r="S370" s="6" t="s">
        <v>1</v>
      </c>
      <c r="T370" s="9"/>
      <c r="U370" s="9"/>
      <c r="V370" s="108"/>
      <c r="W370" s="9">
        <v>10</v>
      </c>
      <c r="X370" s="9">
        <v>10</v>
      </c>
      <c r="Y370" s="9">
        <v>10</v>
      </c>
      <c r="Z370" s="4">
        <v>10</v>
      </c>
      <c r="AA370" s="6">
        <v>2026</v>
      </c>
      <c r="AB370" s="127">
        <v>10</v>
      </c>
      <c r="AC370" s="17"/>
      <c r="AD370" s="17"/>
    </row>
    <row r="371" spans="1:32" ht="30" x14ac:dyDescent="0.2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2" t="s">
        <v>214</v>
      </c>
      <c r="S371" s="23" t="s">
        <v>27</v>
      </c>
      <c r="T371" s="50"/>
      <c r="U371" s="50"/>
      <c r="V371" s="110"/>
      <c r="W371" s="50">
        <v>1</v>
      </c>
      <c r="X371" s="50">
        <v>1</v>
      </c>
      <c r="Y371" s="50">
        <v>1</v>
      </c>
      <c r="Z371" s="52">
        <v>1</v>
      </c>
      <c r="AA371" s="23">
        <v>2026</v>
      </c>
      <c r="AB371" s="77"/>
    </row>
    <row r="372" spans="1:32" ht="36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7" t="s">
        <v>217</v>
      </c>
      <c r="S372" s="6" t="s">
        <v>1</v>
      </c>
      <c r="T372" s="8"/>
      <c r="U372" s="8"/>
      <c r="V372" s="57"/>
      <c r="W372" s="5">
        <v>35</v>
      </c>
      <c r="X372" s="5">
        <v>33</v>
      </c>
      <c r="Y372" s="5">
        <v>31</v>
      </c>
      <c r="Z372" s="3">
        <f>Y372</f>
        <v>31</v>
      </c>
      <c r="AA372" s="6">
        <v>2026</v>
      </c>
      <c r="AB372" s="77"/>
    </row>
    <row r="373" spans="1:32" ht="37.1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7" t="s">
        <v>220</v>
      </c>
      <c r="S373" s="6" t="s">
        <v>1</v>
      </c>
      <c r="T373" s="8"/>
      <c r="U373" s="8"/>
      <c r="V373" s="57"/>
      <c r="W373" s="5">
        <v>37</v>
      </c>
      <c r="X373" s="5">
        <v>36</v>
      </c>
      <c r="Y373" s="5">
        <v>35</v>
      </c>
      <c r="Z373" s="3">
        <f>Y373</f>
        <v>35</v>
      </c>
      <c r="AA373" s="6">
        <v>2026</v>
      </c>
      <c r="AB373" s="77"/>
    </row>
    <row r="374" spans="1:32" ht="48" customHeight="1" x14ac:dyDescent="0.2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2" t="s">
        <v>215</v>
      </c>
      <c r="S374" s="23" t="s">
        <v>27</v>
      </c>
      <c r="T374" s="50"/>
      <c r="U374" s="50"/>
      <c r="V374" s="110"/>
      <c r="W374" s="50">
        <v>1</v>
      </c>
      <c r="X374" s="50">
        <v>1</v>
      </c>
      <c r="Y374" s="50">
        <v>1</v>
      </c>
      <c r="Z374" s="52">
        <v>1</v>
      </c>
      <c r="AA374" s="23">
        <v>2026</v>
      </c>
      <c r="AB374" s="77"/>
    </row>
    <row r="375" spans="1:32" ht="51.6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7" t="s">
        <v>218</v>
      </c>
      <c r="S375" s="6" t="s">
        <v>30</v>
      </c>
      <c r="T375" s="8"/>
      <c r="U375" s="8"/>
      <c r="V375" s="57"/>
      <c r="W375" s="8">
        <v>35</v>
      </c>
      <c r="X375" s="8">
        <v>33</v>
      </c>
      <c r="Y375" s="8">
        <v>31</v>
      </c>
      <c r="Z375" s="4">
        <f>W375+X375+Y375</f>
        <v>99</v>
      </c>
      <c r="AA375" s="6">
        <v>2026</v>
      </c>
      <c r="AB375" s="77"/>
    </row>
    <row r="376" spans="1:32" ht="47.4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7" t="s">
        <v>219</v>
      </c>
      <c r="S376" s="6" t="s">
        <v>30</v>
      </c>
      <c r="T376" s="8"/>
      <c r="U376" s="8"/>
      <c r="V376" s="57"/>
      <c r="W376" s="8">
        <v>10</v>
      </c>
      <c r="X376" s="8">
        <v>9</v>
      </c>
      <c r="Y376" s="8">
        <v>8</v>
      </c>
      <c r="Z376" s="4">
        <f>W376+X376+Y376</f>
        <v>27</v>
      </c>
      <c r="AA376" s="6">
        <v>2026</v>
      </c>
      <c r="AB376" s="77"/>
    </row>
    <row r="377" spans="1:32" s="10" customFormat="1" ht="37.15" customHeight="1" x14ac:dyDescent="0.25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5" t="s">
        <v>50</v>
      </c>
      <c r="S377" s="36" t="s">
        <v>33</v>
      </c>
      <c r="T377" s="37">
        <f t="shared" ref="T377:Z377" si="33">T378</f>
        <v>0</v>
      </c>
      <c r="U377" s="37">
        <f t="shared" si="33"/>
        <v>0</v>
      </c>
      <c r="V377" s="37">
        <f t="shared" si="33"/>
        <v>0</v>
      </c>
      <c r="W377" s="37">
        <f t="shared" si="33"/>
        <v>0</v>
      </c>
      <c r="X377" s="37">
        <f t="shared" si="33"/>
        <v>0</v>
      </c>
      <c r="Y377" s="37">
        <f t="shared" si="33"/>
        <v>0</v>
      </c>
      <c r="Z377" s="37">
        <f t="shared" si="33"/>
        <v>0</v>
      </c>
      <c r="AA377" s="36">
        <v>2026</v>
      </c>
      <c r="AB377" s="77"/>
      <c r="AC377" s="17"/>
      <c r="AD377" s="17"/>
      <c r="AE377" s="1"/>
      <c r="AF377" s="1"/>
    </row>
    <row r="378" spans="1:32" s="1" customFormat="1" ht="42.75" x14ac:dyDescent="0.25">
      <c r="A378" s="38"/>
      <c r="B378" s="38"/>
      <c r="C378" s="38"/>
      <c r="D378" s="38"/>
      <c r="E378" s="38"/>
      <c r="F378" s="38"/>
      <c r="G378" s="38"/>
      <c r="H378" s="38"/>
      <c r="I378" s="39"/>
      <c r="J378" s="39"/>
      <c r="K378" s="39"/>
      <c r="L378" s="39"/>
      <c r="M378" s="39"/>
      <c r="N378" s="39"/>
      <c r="O378" s="39"/>
      <c r="P378" s="39"/>
      <c r="Q378" s="39"/>
      <c r="R378" s="40" t="s">
        <v>16</v>
      </c>
      <c r="S378" s="41" t="s">
        <v>33</v>
      </c>
      <c r="T378" s="42">
        <v>0</v>
      </c>
      <c r="U378" s="42">
        <v>0</v>
      </c>
      <c r="V378" s="42">
        <v>0</v>
      </c>
      <c r="W378" s="42">
        <v>0</v>
      </c>
      <c r="X378" s="42">
        <v>0</v>
      </c>
      <c r="Y378" s="42">
        <v>0</v>
      </c>
      <c r="Z378" s="42">
        <v>0</v>
      </c>
      <c r="AA378" s="41">
        <v>2026</v>
      </c>
      <c r="AB378" s="77"/>
      <c r="AC378" s="17"/>
      <c r="AD378" s="17"/>
    </row>
    <row r="379" spans="1:32" s="1" customFormat="1" ht="45" customHeight="1" x14ac:dyDescent="0.25">
      <c r="A379" s="6"/>
      <c r="B379" s="6"/>
      <c r="C379" s="6"/>
      <c r="D379" s="6"/>
      <c r="E379" s="6"/>
      <c r="F379" s="6"/>
      <c r="G379" s="6"/>
      <c r="H379" s="6"/>
      <c r="I379" s="14"/>
      <c r="J379" s="14"/>
      <c r="K379" s="14"/>
      <c r="L379" s="14"/>
      <c r="M379" s="14"/>
      <c r="N379" s="14"/>
      <c r="O379" s="14"/>
      <c r="P379" s="14"/>
      <c r="Q379" s="14"/>
      <c r="R379" s="125" t="s">
        <v>94</v>
      </c>
      <c r="S379" s="6" t="s">
        <v>30</v>
      </c>
      <c r="T379" s="9">
        <v>12</v>
      </c>
      <c r="U379" s="9">
        <v>12</v>
      </c>
      <c r="V379" s="9">
        <v>12</v>
      </c>
      <c r="W379" s="9">
        <v>12</v>
      </c>
      <c r="X379" s="9">
        <v>12</v>
      </c>
      <c r="Y379" s="9">
        <v>12</v>
      </c>
      <c r="Z379" s="4">
        <f>T379+U379+V379+W379+X379+Y379</f>
        <v>72</v>
      </c>
      <c r="AA379" s="6">
        <v>2026</v>
      </c>
      <c r="AB379" s="77"/>
      <c r="AC379" s="17"/>
      <c r="AD379" s="17"/>
    </row>
    <row r="380" spans="1:32" s="1" customFormat="1" ht="61.15" customHeight="1" x14ac:dyDescent="0.2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2" t="s">
        <v>95</v>
      </c>
      <c r="S380" s="23" t="s">
        <v>27</v>
      </c>
      <c r="T380" s="21" t="s">
        <v>11</v>
      </c>
      <c r="U380" s="21" t="s">
        <v>11</v>
      </c>
      <c r="V380" s="21" t="s">
        <v>11</v>
      </c>
      <c r="W380" s="21" t="s">
        <v>11</v>
      </c>
      <c r="X380" s="21" t="s">
        <v>11</v>
      </c>
      <c r="Y380" s="21" t="s">
        <v>11</v>
      </c>
      <c r="Z380" s="51" t="s">
        <v>11</v>
      </c>
      <c r="AA380" s="23">
        <v>2026</v>
      </c>
      <c r="AB380" s="77"/>
      <c r="AC380" s="17"/>
      <c r="AD380" s="17"/>
    </row>
    <row r="381" spans="1:32" s="1" customFormat="1" ht="39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7" t="s">
        <v>90</v>
      </c>
      <c r="S381" s="6" t="s">
        <v>30</v>
      </c>
      <c r="T381" s="9">
        <v>15</v>
      </c>
      <c r="U381" s="9">
        <v>15</v>
      </c>
      <c r="V381" s="9">
        <v>117</v>
      </c>
      <c r="W381" s="9">
        <v>120</v>
      </c>
      <c r="X381" s="9">
        <v>15</v>
      </c>
      <c r="Y381" s="9">
        <v>15</v>
      </c>
      <c r="Z381" s="4">
        <f>T381+U381+V381+W381+X381+Y381</f>
        <v>297</v>
      </c>
      <c r="AA381" s="6">
        <v>2026</v>
      </c>
      <c r="AB381" s="77"/>
      <c r="AC381" s="17"/>
      <c r="AD381" s="17"/>
    </row>
    <row r="382" spans="1:32" ht="51" customHeight="1" x14ac:dyDescent="0.2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2" t="s">
        <v>82</v>
      </c>
      <c r="S382" s="23" t="s">
        <v>27</v>
      </c>
      <c r="T382" s="50">
        <v>1</v>
      </c>
      <c r="U382" s="50">
        <v>1</v>
      </c>
      <c r="V382" s="50">
        <v>1</v>
      </c>
      <c r="W382" s="50">
        <v>1</v>
      </c>
      <c r="X382" s="50">
        <v>1</v>
      </c>
      <c r="Y382" s="50">
        <v>1</v>
      </c>
      <c r="Z382" s="52">
        <v>1</v>
      </c>
      <c r="AA382" s="23">
        <v>2026</v>
      </c>
      <c r="AB382" s="77"/>
    </row>
    <row r="383" spans="1:32" ht="39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7" t="s">
        <v>83</v>
      </c>
      <c r="S383" s="6" t="s">
        <v>31</v>
      </c>
      <c r="T383" s="8">
        <v>160</v>
      </c>
      <c r="U383" s="8">
        <v>170</v>
      </c>
      <c r="V383" s="8">
        <v>100</v>
      </c>
      <c r="W383" s="8">
        <v>160</v>
      </c>
      <c r="X383" s="8">
        <v>160</v>
      </c>
      <c r="Y383" s="8">
        <v>160</v>
      </c>
      <c r="Z383" s="4">
        <f>T383+U383+V383+W383+X383+Y383</f>
        <v>910</v>
      </c>
      <c r="AA383" s="6">
        <v>2026</v>
      </c>
      <c r="AB383" s="77"/>
    </row>
    <row r="384" spans="1:32" ht="61.5" customHeight="1" x14ac:dyDescent="0.25">
      <c r="A384" s="38"/>
      <c r="B384" s="38"/>
      <c r="C384" s="38"/>
      <c r="D384" s="38"/>
      <c r="E384" s="38"/>
      <c r="F384" s="38"/>
      <c r="G384" s="38"/>
      <c r="H384" s="38"/>
      <c r="I384" s="39"/>
      <c r="J384" s="39"/>
      <c r="K384" s="39"/>
      <c r="L384" s="39"/>
      <c r="M384" s="39"/>
      <c r="N384" s="39"/>
      <c r="O384" s="39"/>
      <c r="P384" s="39"/>
      <c r="Q384" s="39"/>
      <c r="R384" s="139" t="s">
        <v>28</v>
      </c>
      <c r="S384" s="38" t="s">
        <v>33</v>
      </c>
      <c r="T384" s="42">
        <v>0</v>
      </c>
      <c r="U384" s="42">
        <v>0</v>
      </c>
      <c r="V384" s="42">
        <v>0</v>
      </c>
      <c r="W384" s="42">
        <v>0</v>
      </c>
      <c r="X384" s="42">
        <v>0</v>
      </c>
      <c r="Y384" s="42">
        <v>0</v>
      </c>
      <c r="Z384" s="42">
        <v>0</v>
      </c>
      <c r="AA384" s="41">
        <v>2026</v>
      </c>
      <c r="AB384" s="77"/>
    </row>
    <row r="385" spans="1:32" ht="30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7" t="s">
        <v>84</v>
      </c>
      <c r="S385" s="6" t="s">
        <v>31</v>
      </c>
      <c r="T385" s="9">
        <f t="shared" ref="T385:U385" si="34">T391</f>
        <v>530</v>
      </c>
      <c r="U385" s="9">
        <f t="shared" si="34"/>
        <v>540</v>
      </c>
      <c r="V385" s="9"/>
      <c r="W385" s="9"/>
      <c r="X385" s="9"/>
      <c r="Y385" s="9"/>
      <c r="Z385" s="4">
        <f>T385+U385+V385+W385+X385+Y385</f>
        <v>1070</v>
      </c>
      <c r="AA385" s="6">
        <v>2022</v>
      </c>
      <c r="AB385" s="77"/>
    </row>
    <row r="386" spans="1:32" s="1" customFormat="1" ht="30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7" t="s">
        <v>96</v>
      </c>
      <c r="S386" s="6" t="s">
        <v>33</v>
      </c>
      <c r="T386" s="5">
        <f t="shared" ref="T386:U386" si="35">T391*1.6</f>
        <v>848</v>
      </c>
      <c r="U386" s="5">
        <f t="shared" si="35"/>
        <v>864</v>
      </c>
      <c r="V386" s="5"/>
      <c r="W386" s="5"/>
      <c r="X386" s="5"/>
      <c r="Y386" s="5"/>
      <c r="Z386" s="3">
        <f>T386+U386+V386+W386+X386+Y386</f>
        <v>1712</v>
      </c>
      <c r="AA386" s="6">
        <v>2022</v>
      </c>
      <c r="AB386" s="77"/>
      <c r="AC386" s="17"/>
      <c r="AD386" s="17"/>
    </row>
    <row r="387" spans="1:32" s="1" customFormat="1" ht="30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7" t="s">
        <v>247</v>
      </c>
      <c r="S387" s="6" t="s">
        <v>31</v>
      </c>
      <c r="T387" s="9"/>
      <c r="U387" s="9"/>
      <c r="V387" s="9"/>
      <c r="W387" s="9">
        <f>W389+W393</f>
        <v>2800</v>
      </c>
      <c r="X387" s="9">
        <f t="shared" ref="X387:Y387" si="36">X389+X393</f>
        <v>2300</v>
      </c>
      <c r="Y387" s="9">
        <f t="shared" si="36"/>
        <v>2300</v>
      </c>
      <c r="Z387" s="4">
        <f>T387+U387+V387+W387+X387+Y387</f>
        <v>7400</v>
      </c>
      <c r="AA387" s="6">
        <v>2026</v>
      </c>
      <c r="AB387" s="77"/>
      <c r="AC387" s="17"/>
      <c r="AD387" s="17"/>
    </row>
    <row r="388" spans="1:32" ht="41.45" customHeight="1" x14ac:dyDescent="0.2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2" t="s">
        <v>85</v>
      </c>
      <c r="S388" s="23" t="s">
        <v>27</v>
      </c>
      <c r="T388" s="50">
        <v>1</v>
      </c>
      <c r="U388" s="50">
        <v>1</v>
      </c>
      <c r="V388" s="50">
        <v>1</v>
      </c>
      <c r="W388" s="50">
        <v>1</v>
      </c>
      <c r="X388" s="50">
        <v>1</v>
      </c>
      <c r="Y388" s="50">
        <v>1</v>
      </c>
      <c r="Z388" s="52">
        <v>1</v>
      </c>
      <c r="AA388" s="23">
        <v>2026</v>
      </c>
      <c r="AB388" s="77"/>
    </row>
    <row r="389" spans="1:32" ht="30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7" t="s">
        <v>86</v>
      </c>
      <c r="S389" s="6" t="s">
        <v>31</v>
      </c>
      <c r="T389" s="9">
        <v>2200</v>
      </c>
      <c r="U389" s="9">
        <v>350</v>
      </c>
      <c r="V389" s="9">
        <v>277</v>
      </c>
      <c r="W389" s="9">
        <v>300</v>
      </c>
      <c r="X389" s="9">
        <v>300</v>
      </c>
      <c r="Y389" s="9">
        <v>300</v>
      </c>
      <c r="Z389" s="4">
        <f>T389+U389+V389+W389+X389+Y389</f>
        <v>3727</v>
      </c>
      <c r="AA389" s="6">
        <v>2026</v>
      </c>
      <c r="AB389" s="77"/>
    </row>
    <row r="390" spans="1:32" s="10" customFormat="1" ht="60" x14ac:dyDescent="0.2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2" t="s">
        <v>87</v>
      </c>
      <c r="S390" s="23" t="s">
        <v>27</v>
      </c>
      <c r="T390" s="50">
        <v>1</v>
      </c>
      <c r="U390" s="50">
        <v>1</v>
      </c>
      <c r="V390" s="50"/>
      <c r="W390" s="50"/>
      <c r="X390" s="50"/>
      <c r="Y390" s="50"/>
      <c r="Z390" s="52">
        <v>1</v>
      </c>
      <c r="AA390" s="23">
        <v>2022</v>
      </c>
      <c r="AB390" s="77"/>
      <c r="AC390" s="17"/>
      <c r="AD390" s="17"/>
      <c r="AE390" s="1"/>
      <c r="AF390" s="1"/>
    </row>
    <row r="391" spans="1:32" s="1" customFormat="1" ht="45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7" t="s">
        <v>88</v>
      </c>
      <c r="S391" s="6" t="s">
        <v>31</v>
      </c>
      <c r="T391" s="9">
        <v>530</v>
      </c>
      <c r="U391" s="9">
        <v>540</v>
      </c>
      <c r="V391" s="9"/>
      <c r="W391" s="9"/>
      <c r="X391" s="9"/>
      <c r="Y391" s="9"/>
      <c r="Z391" s="4">
        <f>T391+U391+V391+W391+X391+Y391</f>
        <v>1070</v>
      </c>
      <c r="AA391" s="8">
        <v>2022</v>
      </c>
      <c r="AB391" s="77"/>
      <c r="AC391" s="17"/>
      <c r="AD391" s="17"/>
    </row>
    <row r="392" spans="1:32" s="2" customFormat="1" ht="45" x14ac:dyDescent="0.25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2" t="s">
        <v>89</v>
      </c>
      <c r="S392" s="23" t="s">
        <v>27</v>
      </c>
      <c r="T392" s="50">
        <v>1</v>
      </c>
      <c r="U392" s="50">
        <v>1</v>
      </c>
      <c r="V392" s="50">
        <v>1</v>
      </c>
      <c r="W392" s="50">
        <v>1</v>
      </c>
      <c r="X392" s="50">
        <v>1</v>
      </c>
      <c r="Y392" s="50">
        <v>1</v>
      </c>
      <c r="Z392" s="52">
        <v>1</v>
      </c>
      <c r="AA392" s="23">
        <v>2026</v>
      </c>
      <c r="AB392" s="80"/>
      <c r="AC392" s="15"/>
      <c r="AD392" s="15"/>
      <c r="AE392" s="16"/>
      <c r="AF392" s="16"/>
    </row>
    <row r="393" spans="1:32" s="10" customFormat="1" ht="44.25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2" t="s">
        <v>103</v>
      </c>
      <c r="S393" s="6" t="s">
        <v>31</v>
      </c>
      <c r="T393" s="9">
        <v>250</v>
      </c>
      <c r="U393" s="9">
        <v>2265</v>
      </c>
      <c r="V393" s="9">
        <v>2978</v>
      </c>
      <c r="W393" s="9">
        <v>2500</v>
      </c>
      <c r="X393" s="9">
        <v>2000</v>
      </c>
      <c r="Y393" s="9">
        <v>2000</v>
      </c>
      <c r="Z393" s="4">
        <f>T393+U393+V393+W393+X393+Y393</f>
        <v>11993</v>
      </c>
      <c r="AA393" s="6">
        <v>2026</v>
      </c>
      <c r="AB393" s="77"/>
      <c r="AC393" s="17"/>
      <c r="AD393" s="17"/>
      <c r="AE393" s="1"/>
      <c r="AF393" s="1"/>
    </row>
    <row r="394" spans="1:32" s="10" customFormat="1" x14ac:dyDescent="0.25">
      <c r="A394" s="151" t="s">
        <v>29</v>
      </c>
      <c r="B394" s="151"/>
      <c r="C394" s="151"/>
      <c r="D394" s="151"/>
      <c r="E394" s="151"/>
      <c r="F394" s="151"/>
      <c r="G394" s="151"/>
      <c r="H394" s="151"/>
      <c r="I394" s="151"/>
      <c r="J394" s="151"/>
      <c r="K394" s="151"/>
      <c r="L394" s="151"/>
      <c r="M394" s="151"/>
      <c r="N394" s="151"/>
      <c r="O394" s="151"/>
      <c r="P394" s="151"/>
      <c r="Q394" s="151"/>
      <c r="R394" s="151"/>
      <c r="S394" s="151"/>
      <c r="T394" s="151"/>
      <c r="U394" s="151"/>
      <c r="V394" s="151"/>
      <c r="W394" s="151"/>
      <c r="X394" s="151"/>
      <c r="Y394" s="151"/>
      <c r="Z394" s="151"/>
      <c r="AA394" s="151"/>
      <c r="AB394" s="72"/>
      <c r="AC394" s="17"/>
      <c r="AD394" s="17"/>
      <c r="AE394" s="1"/>
      <c r="AF394" s="1"/>
    </row>
    <row r="395" spans="1:32" x14ac:dyDescent="0.2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54"/>
      <c r="S395" s="54"/>
      <c r="T395" s="88"/>
      <c r="U395" s="112"/>
      <c r="V395" s="112"/>
      <c r="W395" s="112"/>
      <c r="X395" s="112"/>
      <c r="Y395" s="112"/>
      <c r="Z395" s="54"/>
      <c r="AA395" s="53" t="s">
        <v>47</v>
      </c>
    </row>
    <row r="396" spans="1:32" ht="38.450000000000003" customHeight="1" x14ac:dyDescent="0.25">
      <c r="A396" s="147"/>
      <c r="B396" s="147"/>
      <c r="C396" s="147"/>
      <c r="D396" s="147"/>
      <c r="E396" s="147"/>
      <c r="F396" s="147"/>
      <c r="G396" s="147"/>
      <c r="H396" s="147"/>
      <c r="I396" s="147"/>
      <c r="J396" s="147"/>
      <c r="K396" s="147"/>
      <c r="L396" s="147"/>
      <c r="M396" s="147"/>
      <c r="N396" s="147"/>
      <c r="O396" s="147"/>
      <c r="P396" s="147"/>
      <c r="Q396" s="147"/>
      <c r="R396" s="147"/>
      <c r="S396" s="147"/>
      <c r="T396" s="147"/>
      <c r="U396" s="147"/>
      <c r="V396" s="147"/>
      <c r="W396" s="147"/>
      <c r="X396" s="147"/>
      <c r="Y396" s="147"/>
      <c r="Z396" s="147"/>
      <c r="AA396" s="147"/>
    </row>
  </sheetData>
  <mergeCells count="143">
    <mergeCell ref="R298:R300"/>
    <mergeCell ref="S298:S300"/>
    <mergeCell ref="R302:R304"/>
    <mergeCell ref="S302:S304"/>
    <mergeCell ref="R306:R308"/>
    <mergeCell ref="S306:S308"/>
    <mergeCell ref="R310:R312"/>
    <mergeCell ref="S310:S312"/>
    <mergeCell ref="R315:R317"/>
    <mergeCell ref="S315:S317"/>
    <mergeCell ref="R157:R159"/>
    <mergeCell ref="S157:S159"/>
    <mergeCell ref="R161:R163"/>
    <mergeCell ref="S161:S163"/>
    <mergeCell ref="S216:S220"/>
    <mergeCell ref="R259:R263"/>
    <mergeCell ref="R200:R202"/>
    <mergeCell ref="S200:S202"/>
    <mergeCell ref="R204:R206"/>
    <mergeCell ref="S177:S179"/>
    <mergeCell ref="R181:R183"/>
    <mergeCell ref="S181:S183"/>
    <mergeCell ref="S270:S272"/>
    <mergeCell ref="S204:S206"/>
    <mergeCell ref="R169:R171"/>
    <mergeCell ref="S169:S171"/>
    <mergeCell ref="R173:R175"/>
    <mergeCell ref="S173:S175"/>
    <mergeCell ref="R177:R179"/>
    <mergeCell ref="R126:R128"/>
    <mergeCell ref="V1:AA1"/>
    <mergeCell ref="A11:AA11"/>
    <mergeCell ref="A10:AA10"/>
    <mergeCell ref="A4:AA4"/>
    <mergeCell ref="V2:AA2"/>
    <mergeCell ref="A5:AA5"/>
    <mergeCell ref="S93:S95"/>
    <mergeCell ref="A6:AA6"/>
    <mergeCell ref="A7:AA7"/>
    <mergeCell ref="A9:AA9"/>
    <mergeCell ref="R54:R56"/>
    <mergeCell ref="S54:S56"/>
    <mergeCell ref="R41:R44"/>
    <mergeCell ref="S41:S44"/>
    <mergeCell ref="Z13:AA13"/>
    <mergeCell ref="T13:Y13"/>
    <mergeCell ref="A13:Q13"/>
    <mergeCell ref="H14:Q14"/>
    <mergeCell ref="S13:S14"/>
    <mergeCell ref="R13:R14"/>
    <mergeCell ref="R93:R95"/>
    <mergeCell ref="R85:R87"/>
    <mergeCell ref="S85:S87"/>
    <mergeCell ref="A14:C14"/>
    <mergeCell ref="R122:R124"/>
    <mergeCell ref="S122:S124"/>
    <mergeCell ref="S105:S107"/>
    <mergeCell ref="R109:R111"/>
    <mergeCell ref="S109:S111"/>
    <mergeCell ref="D14:E14"/>
    <mergeCell ref="F14:G14"/>
    <mergeCell ref="R356:R358"/>
    <mergeCell ref="S356:S358"/>
    <mergeCell ref="R117:R119"/>
    <mergeCell ref="S117:S119"/>
    <mergeCell ref="S126:S128"/>
    <mergeCell ref="R290:R292"/>
    <mergeCell ref="R208:R210"/>
    <mergeCell ref="S208:S210"/>
    <mergeCell ref="R185:R187"/>
    <mergeCell ref="S185:S187"/>
    <mergeCell ref="R196:R198"/>
    <mergeCell ref="S196:S198"/>
    <mergeCell ref="R189:R193"/>
    <mergeCell ref="S189:S193"/>
    <mergeCell ref="R274:R276"/>
    <mergeCell ref="S274:S276"/>
    <mergeCell ref="S259:S263"/>
    <mergeCell ref="S243:S245"/>
    <mergeCell ref="R247:R249"/>
    <mergeCell ref="R165:R167"/>
    <mergeCell ref="S165:S167"/>
    <mergeCell ref="R286:R288"/>
    <mergeCell ref="R282:R284"/>
    <mergeCell ref="R216:R220"/>
    <mergeCell ref="R139:R141"/>
    <mergeCell ref="S139:S141"/>
    <mergeCell ref="S131:S133"/>
    <mergeCell ref="R135:R137"/>
    <mergeCell ref="S135:S137"/>
    <mergeCell ref="R153:R155"/>
    <mergeCell ref="S153:S155"/>
    <mergeCell ref="R144:R146"/>
    <mergeCell ref="S144:S146"/>
    <mergeCell ref="R131:R133"/>
    <mergeCell ref="A396:AA396"/>
    <mergeCell ref="R32:R35"/>
    <mergeCell ref="S32:S35"/>
    <mergeCell ref="R81:R83"/>
    <mergeCell ref="S81:S83"/>
    <mergeCell ref="R89:R91"/>
    <mergeCell ref="S89:S91"/>
    <mergeCell ref="R101:R103"/>
    <mergeCell ref="S101:S103"/>
    <mergeCell ref="R49:R52"/>
    <mergeCell ref="S49:S52"/>
    <mergeCell ref="R97:R99"/>
    <mergeCell ref="S97:S99"/>
    <mergeCell ref="R113:R115"/>
    <mergeCell ref="R149:R151"/>
    <mergeCell ref="S149:S151"/>
    <mergeCell ref="A394:AA394"/>
    <mergeCell ref="S113:S115"/>
    <mergeCell ref="R105:R107"/>
    <mergeCell ref="R212:R214"/>
    <mergeCell ref="S212:S214"/>
    <mergeCell ref="R266:R268"/>
    <mergeCell ref="S266:S268"/>
    <mergeCell ref="S247:S249"/>
    <mergeCell ref="AB343:AB345"/>
    <mergeCell ref="R223:R225"/>
    <mergeCell ref="S223:S225"/>
    <mergeCell ref="R227:R229"/>
    <mergeCell ref="S227:S229"/>
    <mergeCell ref="R231:R233"/>
    <mergeCell ref="S231:S233"/>
    <mergeCell ref="R235:R237"/>
    <mergeCell ref="S235:S237"/>
    <mergeCell ref="R239:R241"/>
    <mergeCell ref="S239:S241"/>
    <mergeCell ref="R243:R245"/>
    <mergeCell ref="R251:R253"/>
    <mergeCell ref="S251:S253"/>
    <mergeCell ref="R255:R257"/>
    <mergeCell ref="S255:S257"/>
    <mergeCell ref="S282:S284"/>
    <mergeCell ref="R294:R296"/>
    <mergeCell ref="S294:S296"/>
    <mergeCell ref="R278:R280"/>
    <mergeCell ref="S290:S292"/>
    <mergeCell ref="S278:S280"/>
    <mergeCell ref="R270:R272"/>
    <mergeCell ref="S286:S288"/>
  </mergeCells>
  <pageMargins left="0.39370078740157483" right="0.39370078740157483" top="0.78740157480314965" bottom="0.39370078740157483" header="0" footer="0"/>
  <pageSetup paperSize="9" scale="63" fitToHeight="0" orientation="landscape" r:id="rId1"/>
  <headerFooter differentFirst="1">
    <oddHeader>&amp;C &amp;P</oddHeader>
  </headerFooter>
  <rowBreaks count="2" manualBreakCount="2">
    <brk id="152" max="26" man="1"/>
    <brk id="2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:B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Всего-дор</vt:lpstr>
      <vt:lpstr>Лист1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2024-07-01T12:12:15Z</dcterms:modified>
</cp:coreProperties>
</file>